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tabRatio="935" firstSheet="63" activeTab="64"/>
  </bookViews>
  <sheets>
    <sheet name="First-Page" sheetId="1" r:id="rId1"/>
    <sheet name="Sheet1" sheetId="2" r:id="rId2"/>
    <sheet name="AT-1-Gen_Info " sheetId="3" r:id="rId3"/>
    <sheet name="AT-2-S1 BUDGET" sheetId="4" r:id="rId4"/>
    <sheet name="AT_2A_fundflow" sheetId="5" r:id="rId5"/>
    <sheet name="AT-3" sheetId="6" r:id="rId6"/>
    <sheet name="AT3A_cvrg(Insti)_PY" sheetId="7" r:id="rId7"/>
    <sheet name="AT3B_cvrg(Insti)_UPY " sheetId="8" r:id="rId8"/>
    <sheet name="AT3C_cvrg(Insti)_UPY " sheetId="9" r:id="rId9"/>
    <sheet name="enrolment vs availed_PY" sheetId="10" r:id="rId10"/>
    <sheet name="enrolment vs availed_UPY" sheetId="11" r:id="rId11"/>
    <sheet name="AT-4B" sheetId="12" r:id="rId12"/>
    <sheet name="T5_PLAN_vs_PRFM" sheetId="13" r:id="rId13"/>
    <sheet name="T5A_PLAN_vs_PRFM " sheetId="14" r:id="rId14"/>
    <sheet name="T5B_PLAN_vs_PRFM  (2)" sheetId="15" r:id="rId15"/>
    <sheet name="T5C_Drought_PLAN_vs_PRFM " sheetId="16" r:id="rId16"/>
    <sheet name="T5D_Drought_PLAN_vs_PRFM  " sheetId="17" r:id="rId17"/>
    <sheet name="T6_FG_py_Utlsn" sheetId="18" r:id="rId18"/>
    <sheet name="T6A_FG_Upy_Utlsn " sheetId="19" r:id="rId19"/>
    <sheet name="T6B_Pay_FG_FCI_Pry" sheetId="20" r:id="rId20"/>
    <sheet name="T6C_Coarse_Grain" sheetId="21" r:id="rId21"/>
    <sheet name="T7_CC_PY_Utlsn" sheetId="22" r:id="rId22"/>
    <sheet name="T7ACC_UPY_Utlsn " sheetId="23" r:id="rId23"/>
    <sheet name="AT-8_Hon_CCH_Pry" sheetId="24" r:id="rId24"/>
    <sheet name="AT-8A_Hon_CCH_UPry" sheetId="25" r:id="rId25"/>
    <sheet name="AT9_TA" sheetId="26" r:id="rId26"/>
    <sheet name="AT10_MME" sheetId="27" r:id="rId27"/>
    <sheet name="AT10A_" sheetId="28" r:id="rId28"/>
    <sheet name="AT-10 B" sheetId="29" r:id="rId29"/>
    <sheet name="AT-10 C" sheetId="30" r:id="rId30"/>
    <sheet name="AT-10D" sheetId="31" r:id="rId31"/>
    <sheet name="AT-10 E" sheetId="32" r:id="rId32"/>
    <sheet name="AT-10 F CCH training" sheetId="33" r:id="rId33"/>
    <sheet name="AT11_KS Year wise" sheetId="34" r:id="rId34"/>
    <sheet name="AT11A_KS-District wise" sheetId="35" r:id="rId35"/>
    <sheet name="AT12_KD-New" sheetId="36" r:id="rId36"/>
    <sheet name="AT12A_KD-Replacement" sheetId="37" r:id="rId37"/>
    <sheet name="Mode of cooking" sheetId="38" r:id="rId38"/>
    <sheet name="AT-14" sheetId="39" r:id="rId39"/>
    <sheet name="AT-14 A" sheetId="40" r:id="rId40"/>
    <sheet name="AT-15" sheetId="41" r:id="rId41"/>
    <sheet name="AT-16" sheetId="42" r:id="rId42"/>
    <sheet name="AT_17_Coverage-RBSK " sheetId="43" r:id="rId43"/>
    <sheet name="AT18_Details_Community " sheetId="44" r:id="rId44"/>
    <sheet name="AT_19_Impl_Agency" sheetId="45" r:id="rId45"/>
    <sheet name="AT_20_CentralCookingagency " sheetId="46" r:id="rId46"/>
    <sheet name="AT-21" sheetId="47" r:id="rId47"/>
    <sheet name="AT-22" sheetId="48" r:id="rId48"/>
    <sheet name="AT-23 MIS" sheetId="49" r:id="rId49"/>
    <sheet name="AT-23A _AMS" sheetId="50" r:id="rId50"/>
    <sheet name="AT-24" sheetId="51" r:id="rId51"/>
    <sheet name="AT-25" sheetId="52" r:id="rId52"/>
    <sheet name="Sheet1 (2)" sheetId="53" r:id="rId53"/>
    <sheet name="AT26_NoWD" sheetId="54" r:id="rId54"/>
    <sheet name="AT26A_NoWD" sheetId="55" r:id="rId55"/>
    <sheet name="AT27_Req_FG_CA_Pry" sheetId="56" r:id="rId56"/>
    <sheet name="AT27A_Req_FG_CA_U Pry " sheetId="57" r:id="rId57"/>
    <sheet name="AT27B_Req_FG_CA_N CLP" sheetId="58" r:id="rId58"/>
    <sheet name="AT27C_Req_FG_Drought -Pry " sheetId="59" r:id="rId59"/>
    <sheet name="AT27D_Req_FG_Drought -UPry " sheetId="60" r:id="rId60"/>
    <sheet name="AT_28_RqmtKitchen" sheetId="61" r:id="rId61"/>
    <sheet name="AT-28A_RqmtPlinthArea" sheetId="62" r:id="rId62"/>
    <sheet name="AT-28B_Kitchen repair" sheetId="63" r:id="rId63"/>
    <sheet name="AT29_Replacement KD " sheetId="64" r:id="rId64"/>
    <sheet name="AT29_A_Replacement KD" sheetId="65" r:id="rId65"/>
    <sheet name="AT-30_Coook-cum-Helper" sheetId="66" r:id="rId66"/>
    <sheet name="AT_31_Budget_provision " sheetId="67" r:id="rId67"/>
    <sheet name="AT32_Drought Pry Util" sheetId="68" r:id="rId68"/>
    <sheet name="AT-32A Drought UPry Util" sheetId="69" r:id="rId69"/>
  </sheets>
  <definedNames>
    <definedName name="_xlnm.Print_Area" localSheetId="42">'AT_17_Coverage-RBSK '!$A$1:$L$50</definedName>
    <definedName name="_xlnm.Print_Area" localSheetId="44">'AT_19_Impl_Agency'!$A$1:$J$54</definedName>
    <definedName name="_xlnm.Print_Area" localSheetId="45">'AT_20_CentralCookingagency '!$A$1:$M$49</definedName>
    <definedName name="_xlnm.Print_Area" localSheetId="60">'AT_28_RqmtKitchen'!$A$1:$S$49</definedName>
    <definedName name="_xlnm.Print_Area" localSheetId="4">'AT_2A_fundflow'!$A$1:$V$34</definedName>
    <definedName name="_xlnm.Print_Area" localSheetId="66">'AT_31_Budget_provision '!$A$1:$W$33</definedName>
    <definedName name="_xlnm.Print_Area" localSheetId="28">'AT-10 B'!$A$1:$J$28</definedName>
    <definedName name="_xlnm.Print_Area" localSheetId="29">'AT-10 C'!$A$1:$J$20</definedName>
    <definedName name="_xlnm.Print_Area" localSheetId="31">'AT-10 E'!$A$1:$H$46</definedName>
    <definedName name="_xlnm.Print_Area" localSheetId="26">'AT10_MME'!$A$1:$H$32</definedName>
    <definedName name="_xlnm.Print_Area" localSheetId="27">'AT10A_'!$A$1:$E$49</definedName>
    <definedName name="_xlnm.Print_Area" localSheetId="30">'AT-10D'!$A$1:$H$30</definedName>
    <definedName name="_xlnm.Print_Area" localSheetId="33">'AT11_KS Year wise'!$A$1:$K$31</definedName>
    <definedName name="_xlnm.Print_Area" localSheetId="34">'AT11A_KS-District wise'!$A$1:$K$49</definedName>
    <definedName name="_xlnm.Print_Area" localSheetId="35">'AT12_KD-New'!$A$1:$K$50</definedName>
    <definedName name="_xlnm.Print_Area" localSheetId="36">'AT12A_KD-Replacement'!$A$1:$K$49</definedName>
    <definedName name="_xlnm.Print_Area" localSheetId="38">'AT-14'!$A$1:$N$45</definedName>
    <definedName name="_xlnm.Print_Area" localSheetId="39">'AT-14 A'!$A$1:$H$16</definedName>
    <definedName name="_xlnm.Print_Area" localSheetId="40">'AT-15'!$A$1:$L$45</definedName>
    <definedName name="_xlnm.Print_Area" localSheetId="41">'AT-16'!$A$1:$K$45</definedName>
    <definedName name="_xlnm.Print_Area" localSheetId="43">'AT18_Details_Community '!$A$1:$F$48</definedName>
    <definedName name="_xlnm.Print_Area" localSheetId="2">'AT-1-Gen_Info '!$A$1:$T$50</definedName>
    <definedName name="_xlnm.Print_Area" localSheetId="50">'AT-24'!$A$1:$M$50</definedName>
    <definedName name="_xlnm.Print_Area" localSheetId="53">'AT26_NoWD'!$A$1:$L$32</definedName>
    <definedName name="_xlnm.Print_Area" localSheetId="54">'AT26A_NoWD'!$A$1:$K$32</definedName>
    <definedName name="_xlnm.Print_Area" localSheetId="55">'AT27_Req_FG_CA_Pry'!$A$1:$T$52</definedName>
    <definedName name="_xlnm.Print_Area" localSheetId="56">'AT27A_Req_FG_CA_U Pry '!$A$1:$T$51</definedName>
    <definedName name="_xlnm.Print_Area" localSheetId="57">'AT27B_Req_FG_CA_N CLP'!$A$1:$P$51</definedName>
    <definedName name="_xlnm.Print_Area" localSheetId="58">'AT27C_Req_FG_Drought -Pry '!$A$1:$P$51</definedName>
    <definedName name="_xlnm.Print_Area" localSheetId="59">'AT27D_Req_FG_Drought -UPry '!$A$1:$P$51</definedName>
    <definedName name="_xlnm.Print_Area" localSheetId="61">'AT-28A_RqmtPlinthArea'!$A$1:$S$49</definedName>
    <definedName name="_xlnm.Print_Area" localSheetId="62">'AT-28B_Kitchen repair'!$A$1:$G$49</definedName>
    <definedName name="_xlnm.Print_Area" localSheetId="63">'AT29_Replacement KD '!$A$1:$AF$49</definedName>
    <definedName name="_xlnm.Print_Area" localSheetId="3">'AT-2-S1 BUDGET'!$A$1:$V$36</definedName>
    <definedName name="_xlnm.Print_Area" localSheetId="5">'AT-3'!$A$1:$H$48</definedName>
    <definedName name="_xlnm.Print_Area" localSheetId="65">'AT-30_Coook-cum-Helper'!$A$1:$L$50</definedName>
    <definedName name="_xlnm.Print_Area" localSheetId="67">'AT32_Drought Pry Util'!$A$1:$L$52</definedName>
    <definedName name="_xlnm.Print_Area" localSheetId="68">'AT-32A Drought UPry Util'!$A$1:$L$52</definedName>
    <definedName name="_xlnm.Print_Area" localSheetId="6">'AT3A_cvrg(Insti)_PY'!$A$1:$N$53</definedName>
    <definedName name="_xlnm.Print_Area" localSheetId="7">'AT3B_cvrg(Insti)_UPY '!$A$1:$N$53</definedName>
    <definedName name="_xlnm.Print_Area" localSheetId="8">'AT3C_cvrg(Insti)_UPY '!$A$1:$N$51</definedName>
    <definedName name="_xlnm.Print_Area" localSheetId="23">'AT-8_Hon_CCH_Pry'!$A$1:$V$50</definedName>
    <definedName name="_xlnm.Print_Area" localSheetId="24">'AT-8A_Hon_CCH_UPry'!$A$1:$V$49</definedName>
    <definedName name="_xlnm.Print_Area" localSheetId="25">'AT9_TA'!$A$1:$I$48</definedName>
    <definedName name="_xlnm.Print_Area" localSheetId="9">'enrolment vs availed_PY'!$A$1:$Q$50</definedName>
    <definedName name="_xlnm.Print_Area" localSheetId="10">'enrolment vs availed_UPY'!$A$1:$Q$53</definedName>
    <definedName name="_xlnm.Print_Area" localSheetId="37">'Mode of cooking'!$A$1:$H$45</definedName>
    <definedName name="_xlnm.Print_Area" localSheetId="1">'Sheet1'!$A$1:$J$24</definedName>
    <definedName name="_xlnm.Print_Area" localSheetId="52">'Sheet1 (2)'!$A$1:$J$24</definedName>
    <definedName name="_xlnm.Print_Area" localSheetId="12">'T5_PLAN_vs_PRFM'!$A$1:$J$49</definedName>
    <definedName name="_xlnm.Print_Area" localSheetId="13">'T5A_PLAN_vs_PRFM '!$A$1:$J$48</definedName>
    <definedName name="_xlnm.Print_Area" localSheetId="14">'T5B_PLAN_vs_PRFM  (2)'!$A$1:$J$49</definedName>
    <definedName name="_xlnm.Print_Area" localSheetId="15">'T5C_Drought_PLAN_vs_PRFM '!$A$1:$J$48</definedName>
    <definedName name="_xlnm.Print_Area" localSheetId="16">'T5D_Drought_PLAN_vs_PRFM  '!$A$1:$J$48</definedName>
    <definedName name="_xlnm.Print_Area" localSheetId="17">'T6_FG_py_Utlsn'!$A$1:$L$48</definedName>
    <definedName name="_xlnm.Print_Area" localSheetId="18">'T6A_FG_Upy_Utlsn '!$A$1:$L$49</definedName>
    <definedName name="_xlnm.Print_Area" localSheetId="19">'T6B_Pay_FG_FCI_Pry'!$A$1:$M$49</definedName>
    <definedName name="_xlnm.Print_Area" localSheetId="20">'T6C_Coarse_Grain'!$A$1:$L$49</definedName>
    <definedName name="_xlnm.Print_Area" localSheetId="21">'T7_CC_PY_Utlsn'!$A$1:$Q$51</definedName>
    <definedName name="_xlnm.Print_Area" localSheetId="22">'T7ACC_UPY_Utlsn '!$A$1:$Q$50</definedName>
  </definedNames>
  <calcPr fullCalcOnLoad="1"/>
</workbook>
</file>

<file path=xl/sharedStrings.xml><?xml version="1.0" encoding="utf-8"?>
<sst xmlns="http://schemas.openxmlformats.org/spreadsheetml/2006/main" count="4105" uniqueCount="879">
  <si>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</si>
  <si>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</si>
  <si>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</si>
  <si>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</si>
  <si>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</si>
  <si>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</si>
  <si>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</si>
  <si>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</si>
  <si>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</si>
  <si>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</si>
  <si>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</si>
  <si>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</si>
  <si>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</si>
  <si>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</si>
  <si>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</si>
  <si>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</si>
  <si>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</si>
  <si>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</si>
  <si>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</si>
  <si>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</si>
  <si>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</si>
  <si>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</si>
  <si>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</si>
  <si>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</si>
  <si>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</si>
  <si>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</si>
  <si>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</si>
  <si>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</si>
  <si>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</si>
  <si>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</si>
  <si>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</si>
  <si>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</si>
  <si>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</si>
  <si>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</si>
  <si>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</si>
  <si>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</si>
  <si>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</si>
  <si>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</si>
  <si>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</si>
  <si>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</si>
  <si>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</si>
  <si>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</si>
  <si>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</si>
  <si>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</si>
  <si>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</si>
  <si>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</si>
  <si>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</si>
  <si>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</si>
  <si>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</si>
  <si>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</si>
  <si>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</si>
  <si>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</si>
  <si>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</si>
  <si>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</si>
  <si>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</si>
  <si>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</si>
  <si>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</si>
  <si>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</si>
  <si>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</si>
  <si>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</si>
  <si>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</si>
  <si>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</si>
  <si>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</si>
  <si>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</si>
  <si>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</si>
  <si>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</si>
  <si>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</si>
  <si>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</si>
  <si>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</si>
  <si>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</si>
  <si>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</si>
  <si>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</si>
  <si>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</si>
  <si>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</si>
  <si>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</si>
  <si>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</si>
  <si>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</si>
  <si>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</si>
  <si>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</si>
  <si>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</si>
  <si>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</si>
  <si>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</si>
  <si>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</si>
  <si>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</si>
  <si>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</si>
  <si>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</si>
  <si>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</si>
  <si>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</si>
  <si>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</si>
  <si>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</si>
  <si>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</si>
  <si>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</si>
  <si>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</si>
  <si>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</si>
  <si>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</si>
  <si>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</si>
  <si>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</si>
  <si>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</si>
  <si>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</si>
  <si>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</si>
  <si>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</si>
  <si>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</si>
  <si>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</si>
  <si>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</si>
  <si>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</si>
  <si>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</si>
  <si>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</si>
  <si>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</si>
  <si>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</si>
  <si>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</si>
  <si>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</si>
  <si>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</si>
  <si>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</si>
  <si>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</si>
  <si>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</si>
  <si>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</si>
  <si>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</si>
  <si>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</si>
  <si>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</si>
  <si>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</si>
  <si>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</si>
  <si>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</si>
  <si>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</si>
  <si>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</si>
  <si>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</si>
  <si>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</si>
  <si>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</si>
  <si>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</si>
  <si>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</si>
  <si>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</si>
  <si>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</si>
  <si>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</si>
  <si>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</si>
  <si>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</si>
  <si>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</si>
  <si>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</si>
  <si>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</si>
  <si>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</si>
  <si>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</si>
  <si>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</si>
  <si>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</si>
  <si>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</si>
  <si>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</si>
  <si>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</si>
  <si>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</si>
  <si>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</si>
  <si>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</si>
  <si>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</si>
  <si>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</si>
  <si>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</si>
  <si>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</si>
  <si>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</si>
  <si>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</si>
  <si>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</si>
  <si>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</si>
  <si>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</si>
  <si>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</si>
  <si>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</si>
  <si>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</si>
  <si>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</si>
  <si>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</si>
  <si>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</si>
  <si>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</si>
  <si>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</si>
  <si>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</si>
  <si>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</si>
  <si>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</si>
  <si>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</si>
  <si>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</si>
  <si>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</si>
  <si>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</si>
  <si>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</si>
  <si>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</si>
  <si>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</si>
  <si>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</si>
  <si>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</si>
  <si>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</si>
  <si>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</si>
  <si>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</si>
  <si>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</si>
  <si>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</si>
  <si>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</si>
  <si>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</si>
  <si>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</si>
  <si>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</si>
  <si>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</si>
  <si>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</si>
  <si>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</si>
  <si>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</si>
  <si>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</si>
  <si>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</si>
  <si>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</si>
  <si>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</si>
  <si>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</si>
  <si>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</si>
  <si>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</si>
  <si>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</si>
  <si>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</si>
  <si>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</si>
  <si>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</si>
  <si>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</si>
  <si>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</si>
  <si>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</si>
  <si>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</si>
  <si>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</si>
  <si>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</si>
  <si>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</si>
  <si>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</si>
  <si>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</si>
  <si>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</si>
  <si>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</si>
  <si>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</si>
  <si>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</si>
  <si>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</si>
  <si>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</si>
  <si>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</si>
  <si>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</si>
  <si>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</si>
  <si>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</si>
  <si>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</si>
  <si>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</si>
  <si>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</si>
  <si>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</si>
  <si>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</si>
  <si>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</si>
  <si>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</si>
  <si>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</si>
  <si>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</si>
  <si>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</si>
  <si>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</si>
  <si>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</si>
  <si>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</si>
  <si>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</si>
  <si>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</si>
  <si>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</si>
  <si>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</si>
  <si>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</si>
  <si>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</si>
  <si>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</si>
  <si>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</si>
  <si>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</si>
  <si>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</si>
  <si>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</si>
  <si>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</si>
  <si>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</si>
  <si>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</si>
  <si>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</si>
  <si>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</si>
  <si>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</si>
  <si>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</si>
  <si>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</si>
  <si>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</si>
  <si>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</si>
  <si>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</si>
  <si>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</si>
  <si>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</si>
  <si>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</si>
  <si>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</si>
  <si>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</si>
  <si>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</si>
  <si>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</si>
  <si>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</si>
  <si>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</si>
  <si>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</si>
  <si>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</si>
  <si>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</si>
  <si>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</si>
  <si>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</si>
  <si>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</si>
  <si>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</si>
  <si>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</si>
  <si>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</si>
  <si>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</si>
  <si>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</si>
  <si>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</si>
  <si>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</si>
  <si>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</si>
  <si>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</si>
  <si>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</si>
  <si>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</si>
  <si>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</si>
  <si>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</si>
  <si>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</si>
  <si>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</si>
  <si>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</si>
  <si>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</si>
  <si>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</si>
  <si>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</si>
  <si>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</si>
  <si>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</si>
  <si>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</si>
  <si>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</si>
  <si>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</si>
  <si>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</si>
  <si>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</si>
  <si>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</si>
  <si>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</si>
  <si>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</si>
  <si>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</si>
  <si>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</si>
  <si>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</si>
  <si>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</si>
  <si>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</si>
  <si>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</si>
  <si>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</si>
  <si>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</si>
  <si>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</si>
  <si>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</si>
  <si>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</si>
  <si>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</si>
  <si>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</si>
  <si>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</si>
  <si>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</si>
  <si>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</si>
  <si>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</si>
  <si>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</si>
  <si>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</si>
  <si>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</si>
  <si>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</si>
  <si>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</si>
  <si>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</si>
  <si>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</si>
  <si>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</si>
  <si>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</si>
  <si>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</si>
  <si>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</si>
  <si>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</si>
  <si>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</si>
  <si>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</si>
  <si>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</si>
  <si>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</si>
  <si>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</si>
  <si>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</si>
  <si>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</si>
  <si>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</si>
  <si>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</si>
  <si>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</si>
  <si>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</si>
  <si>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</si>
  <si>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</si>
  <si>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</si>
  <si>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</si>
  <si>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</si>
  <si>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</si>
  <si>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</si>
  <si>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</si>
  <si>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</si>
  <si>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</si>
  <si>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</si>
  <si>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</si>
  <si>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</si>
  <si>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</si>
  <si>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</si>
  <si>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</si>
  <si>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</si>
  <si>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</si>
  <si>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</si>
  <si>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</si>
  <si>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</si>
  <si>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</si>
  <si>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</si>
  <si>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</si>
  <si>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</si>
  <si>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</si>
  <si>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</si>
  <si>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</si>
  <si>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</si>
  <si>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</si>
  <si>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</si>
  <si>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</si>
  <si>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</si>
  <si>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</si>
  <si>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</si>
  <si>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</si>
  <si>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</si>
  <si>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</si>
  <si>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</si>
  <si>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</si>
  <si>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</si>
  <si>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</si>
  <si>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</si>
  <si>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</si>
  <si>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</si>
  <si>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</si>
  <si>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</si>
  <si>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</si>
  <si>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</si>
  <si>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</si>
  <si>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</si>
  <si>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</si>
  <si>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</si>
  <si>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</si>
  <si>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</si>
  <si>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</si>
  <si>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</si>
  <si>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</si>
  <si>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</si>
  <si>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</si>
  <si>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</si>
  <si>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</si>
  <si>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</si>
  <si>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</si>
  <si>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</si>
  <si>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</si>
  <si>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</si>
  <si>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</si>
  <si>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</si>
  <si>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</si>
  <si>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</si>
  <si>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</si>
  <si>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</si>
  <si>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</si>
  <si>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</si>
  <si>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</si>
  <si>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</si>
  <si>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</si>
  <si>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</si>
  <si>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</si>
  <si>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</si>
  <si>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</si>
  <si>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</si>
  <si>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</si>
  <si>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</si>
  <si>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</si>
  <si>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</si>
  <si>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</si>
  <si>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</si>
  <si>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</si>
  <si>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</si>
  <si>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</si>
  <si>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</si>
  <si>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</si>
  <si>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</si>
  <si>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</si>
  <si>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</si>
  <si>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</si>
  <si>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</si>
  <si>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</si>
  <si>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</si>
  <si>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</si>
  <si>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</si>
  <si>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</si>
  <si>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</si>
  <si>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</si>
  <si>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</si>
  <si>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</si>
  <si>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</si>
  <si>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</si>
  <si>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</si>
  <si>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</si>
  <si>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</si>
  <si>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</si>
  <si>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</si>
  <si>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</si>
  <si>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</si>
  <si>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</si>
  <si>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</si>
  <si>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</si>
  <si>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</si>
  <si>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</si>
  <si>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</si>
  <si>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</si>
  <si>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</si>
  <si>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</si>
  <si>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</si>
  <si>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</si>
  <si>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</si>
  <si>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</si>
  <si>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</si>
  <si>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</si>
  <si>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</si>
  <si>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</si>
  <si>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</si>
  <si>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</si>
  <si>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</si>
  <si>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</si>
  <si>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</si>
  <si>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</si>
  <si>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</si>
  <si>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</si>
  <si>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</si>
  <si>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</si>
  <si>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</si>
  <si>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</si>
  <si>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</si>
  <si>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</si>
  <si>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</si>
  <si>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</si>
  <si>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</si>
  <si>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</si>
  <si>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</si>
  <si>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</si>
  <si>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</si>
  <si>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</si>
  <si>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</si>
  <si>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</si>
  <si>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</si>
  <si>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</si>
  <si>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</si>
  <si>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</si>
  <si>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</si>
  <si>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</si>
  <si>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</si>
  <si>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</si>
  <si>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</si>
  <si>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</si>
  <si>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</si>
  <si>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</si>
  <si>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</si>
  <si>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</si>
  <si>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</si>
  <si>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</si>
  <si>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</si>
  <si>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</si>
  <si>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</si>
  <si>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</si>
  <si>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</si>
  <si>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</si>
  <si>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</si>
  <si>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</si>
  <si>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</si>
  <si>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</si>
  <si>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</si>
  <si>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</si>
  <si>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</si>
  <si>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</si>
  <si>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</si>
  <si>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</si>
  <si>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</si>
  <si>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</si>
  <si>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</si>
  <si>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</si>
  <si>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</si>
  <si>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</si>
  <si>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</si>
  <si>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</si>
  <si>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</si>
  <si>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</si>
  <si>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</si>
  <si>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</si>
  <si>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</si>
  <si>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</si>
  <si>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</si>
  <si>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</si>
  <si>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</si>
  <si>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</si>
  <si>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</si>
  <si>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</si>
  <si>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</si>
  <si>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</si>
  <si>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r>
      <t xml:space="preserve">No. of working days </t>
    </r>
    <r>
      <rPr>
        <b/>
        <sz val="8"/>
        <rFont val="Arial"/>
        <family val="2"/>
      </rPr>
      <t xml:space="preserve">(During 01.04.17 to 31.12.17)     </t>
    </r>
    <r>
      <rPr>
        <b/>
        <sz val="10"/>
        <rFont val="Arial"/>
        <family val="2"/>
      </rPr>
      <t xml:space="preserve">             </t>
    </r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</si>
  <si>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</si>
  <si>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</si>
  <si>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</si>
  <si>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</si>
  <si>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</si>
  <si>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</si>
  <si>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</si>
  <si>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</si>
  <si>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</si>
  <si>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</si>
  <si>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</si>
  <si>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</si>
  <si>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</si>
  <si>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</si>
  <si>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</si>
  <si>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</si>
  <si>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</si>
  <si>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</si>
  <si>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</si>
  <si>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</si>
  <si>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</si>
  <si>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</si>
  <si>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</si>
  <si>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</si>
  <si>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</si>
  <si>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</si>
  <si>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</si>
  <si>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</si>
  <si>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</si>
  <si>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</si>
  <si>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</si>
  <si>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</si>
  <si>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</si>
  <si>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</si>
  <si>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</si>
  <si>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</si>
  <si>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</si>
  <si>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</si>
  <si>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</si>
  <si>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</si>
  <si>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</si>
  <si>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</si>
  <si>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</si>
  <si>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</si>
  <si>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</si>
  <si>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</si>
  <si>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</si>
  <si>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BHADRADRI</t>
  </si>
  <si>
    <t>JAGITIAL</t>
  </si>
  <si>
    <t>JANAGOAN</t>
  </si>
  <si>
    <t>JAYASHANKAR</t>
  </si>
  <si>
    <t>JOGULAMBA</t>
  </si>
  <si>
    <t>KAMAREDDY</t>
  </si>
  <si>
    <t>KARIMNAGAR</t>
  </si>
  <si>
    <t>KHAMMAM</t>
  </si>
  <si>
    <t>MAHABUBABAD</t>
  </si>
  <si>
    <t>MAHABUBNAGAR</t>
  </si>
  <si>
    <t>MEDAK</t>
  </si>
  <si>
    <t>MEDCHAL</t>
  </si>
  <si>
    <t>NAGARKURNOOL</t>
  </si>
  <si>
    <t>NALGONDA</t>
  </si>
  <si>
    <t>NIZAMABAD</t>
  </si>
  <si>
    <t>PEDDAPALLI</t>
  </si>
  <si>
    <t>RAJANNA</t>
  </si>
  <si>
    <t>RANGA REDDY</t>
  </si>
  <si>
    <t>SANGAREDDY</t>
  </si>
  <si>
    <t>SIDDIPET</t>
  </si>
  <si>
    <t>SURYAPET</t>
  </si>
  <si>
    <t>VIKARABAD</t>
  </si>
  <si>
    <t>WANAPARTHY</t>
  </si>
  <si>
    <t xml:space="preserve">WARANGAL (R) </t>
  </si>
  <si>
    <t>WARANGAL (U)</t>
  </si>
  <si>
    <t>YADADRI</t>
  </si>
  <si>
    <t>TOTAL</t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</si>
  <si>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Toll free number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</si>
  <si>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Dedicated landline number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</si>
  <si>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Call centre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</si>
  <si>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Emails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</si>
  <si>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Press news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</si>
  <si>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Radio/T.V.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</si>
  <si>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SMS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</si>
  <si>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Postal system</t>
    </r>
  </si>
  <si>
    <t>ADILABAD</t>
  </si>
  <si>
    <t>HYDERABAD</t>
  </si>
  <si>
    <t>KOMRAM BHEEM</t>
  </si>
  <si>
    <t>MANCHERIAL</t>
  </si>
  <si>
    <t>NIRMAL</t>
  </si>
  <si>
    <t>NIL</t>
  </si>
  <si>
    <t>As per requirement</t>
  </si>
  <si>
    <t>One</t>
  </si>
  <si>
    <t>Thrice a week</t>
  </si>
  <si>
    <t>Egg</t>
  </si>
  <si>
    <t>2018-19</t>
  </si>
  <si>
    <t>Additional Director</t>
  </si>
  <si>
    <t>Assistant Director</t>
  </si>
  <si>
    <t>Superintendent</t>
  </si>
  <si>
    <t>Sr. Assistant</t>
  </si>
  <si>
    <t>Jr. Assistant</t>
  </si>
  <si>
    <t>Data Processing Officer</t>
  </si>
  <si>
    <t>Data Entry Operator</t>
  </si>
  <si>
    <t xml:space="preserve">Every month by 10th </t>
  </si>
  <si>
    <t>Care labs, Hyderabad</t>
  </si>
  <si>
    <t>Telangana, Hyderabad.</t>
  </si>
  <si>
    <t>Opening Balance</t>
  </si>
  <si>
    <t xml:space="preserve">                                    [Mid-Day Meal Scheme]</t>
  </si>
  <si>
    <t xml:space="preserve">                                  [Mid-Day Meal Scheme]</t>
  </si>
  <si>
    <t>Rs in lakhs</t>
  </si>
  <si>
    <t xml:space="preserve">                                                 [Mid-Day Meal Scheme]</t>
  </si>
  <si>
    <t>E-transfer</t>
  </si>
  <si>
    <t>Pulse 1 (Toor dal)</t>
  </si>
  <si>
    <t>Pulse 2 (Moong dal)</t>
  </si>
  <si>
    <t>Pulse 2 (Moong Dal)</t>
  </si>
  <si>
    <t>Akshayapatra Foundation</t>
  </si>
  <si>
    <t>MANNA Trust</t>
  </si>
  <si>
    <t>State / UT: TELANGANA</t>
  </si>
  <si>
    <t xml:space="preserve">STATE/UT: TELANGANA </t>
  </si>
  <si>
    <t>STATE/UT : TELANGANA</t>
  </si>
  <si>
    <t>STATE/UT: TELANGANA</t>
  </si>
  <si>
    <t>State/UT: TELANGANA</t>
  </si>
  <si>
    <t>State/UT : TELANGANA</t>
  </si>
  <si>
    <t>State / UT:  TELANGANA</t>
  </si>
  <si>
    <t>State / UT:TELANGANA</t>
  </si>
  <si>
    <t>STATE/ UT : TELANGANA</t>
  </si>
  <si>
    <t>No</t>
  </si>
  <si>
    <t>Nil</t>
  </si>
  <si>
    <t>Table: AT- 10 F</t>
  </si>
  <si>
    <t xml:space="preserve">State / UT: </t>
  </si>
  <si>
    <t>Feb</t>
  </si>
  <si>
    <t>Mar</t>
  </si>
  <si>
    <t>Egg Cost</t>
  </si>
  <si>
    <t>JAGTIAL</t>
  </si>
  <si>
    <t>JANGAON</t>
  </si>
  <si>
    <t>KOMARAM BHEEM</t>
  </si>
  <si>
    <t>MAHBUBNAGAR</t>
  </si>
  <si>
    <t>MEDCHAL MALKAJGIRI</t>
  </si>
  <si>
    <t>RANGAREDDY</t>
  </si>
  <si>
    <t>WARANGAL RURAL</t>
  </si>
  <si>
    <t>WARANGAL URBAN</t>
  </si>
  <si>
    <t>Yes</t>
  </si>
  <si>
    <t>Note: MANNA Trust is serving Mid Day Meals in 3 districts from one kitchen only.</t>
  </si>
  <si>
    <t>In rrural areas Kitchen-cum-stores are constructed in convergence with MGNREGS</t>
  </si>
  <si>
    <t>Instructions are issued for maintenance of good quality MDM.</t>
  </si>
  <si>
    <t>Disposed</t>
  </si>
  <si>
    <t xml:space="preserve">  </t>
  </si>
  <si>
    <t>Annual Work Plan and Budget 2019-20</t>
  </si>
  <si>
    <t>Annual Work Plan and Budget  2019-20</t>
  </si>
  <si>
    <t>Annual Work Plan &amp; Budget 2019-20</t>
  </si>
  <si>
    <t>Table: AT-1: GENERAL INFORMATION for 2018-19</t>
  </si>
  <si>
    <t>Table: AT-2 :  Details of  Provisions  in the State Budget 2018-19</t>
  </si>
  <si>
    <t>Table: AT-2A : Releasing of Funds from State to Directorate / Authority / District / Block / School level for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</si>
  <si>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</si>
  <si>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</si>
  <si>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</si>
  <si>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</si>
  <si>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</si>
  <si>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AT-4A: Enrolment vis-a-vis availed for MDM  (Upper Primary, Classes VI - VIII)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</si>
  <si>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</si>
  <si>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</si>
  <si>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</si>
  <si>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</si>
  <si>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</si>
  <si>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</si>
  <si>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</si>
  <si>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</si>
  <si>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</si>
  <si>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</si>
  <si>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Table: AT-6B: PAYMENT OF COST OF FOOD GRAINS TO FCI (Primary and Upper Primary Classes I-VIII) during2018-19</t>
  </si>
  <si>
    <t>Allocation for cost of foodgrains for 2018-19</t>
  </si>
  <si>
    <t>Table: AT-6C: Utilisation of foodgrains (Coarse Grain) during 2018-19</t>
  </si>
  <si>
    <t>Table: AT-7: Utilisation of Cooking Cost (Primary, Classes I-V) during 2018-19</t>
  </si>
  <si>
    <t xml:space="preserve">Allocation for 2018-19                                </t>
  </si>
  <si>
    <t>Table: AT-7A: Utilisation of Cooking cost (Upper Primary Classes, VI-VIII) for 2018-19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</si>
  <si>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</si>
  <si>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</si>
  <si>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</si>
  <si>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</si>
  <si>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</si>
  <si>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</si>
  <si>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</si>
  <si>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</si>
  <si>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</si>
  <si>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</si>
  <si>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</si>
  <si>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</si>
  <si>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</si>
  <si>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</si>
  <si>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</si>
  <si>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</si>
  <si>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</si>
  <si>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AT-28: Requirement of kitchen-cum-stores in the Primary and Upper Primary schools for the year 2019-20</t>
  </si>
  <si>
    <t>Table: AT-28 A: Requirement of kitchen cum stores as per Plinth Area Norm in the Primary and Upper Primary schools for the year 2019-20</t>
  </si>
  <si>
    <t>Table: AT 30 :    Requirement of Cook cum Helpers for 2019-20</t>
  </si>
  <si>
    <t>Table: AT-31 : Budget Provision for the Year 2019-20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</si>
  <si>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</si>
  <si>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</si>
  <si>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Mid-Day Meal Scheme</t>
  </si>
  <si>
    <t>Proposals for 2019-20</t>
  </si>
  <si>
    <t>Budget Released till 31.03.2019</t>
  </si>
  <si>
    <t>(For the Period 01.4.18 to 31.03.19)</t>
  </si>
  <si>
    <t>During 01.04.2018 to 31.03.2019</t>
  </si>
  <si>
    <t>(As on 31st Mar, 2019)</t>
  </si>
  <si>
    <t>As on 31st Mar, 2019</t>
  </si>
  <si>
    <t>1.4.2018</t>
  </si>
  <si>
    <t>2019-20</t>
  </si>
  <si>
    <t>*This information will be used for computing Performance Grading Index (PGI) also.</t>
  </si>
  <si>
    <t>NARAYANPET</t>
  </si>
  <si>
    <t>MULUGU</t>
  </si>
  <si>
    <t>NARAYNAPET</t>
  </si>
  <si>
    <t>Opening Balance as on 01.4.18</t>
  </si>
  <si>
    <t>Enrolment (As on 30.09.2018)</t>
  </si>
  <si>
    <t>Table: AT-28 B</t>
  </si>
  <si>
    <t>Table: AT-28 B: Repair of kitchen cum stores constructed ten years ago</t>
  </si>
  <si>
    <t>State/UT :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</si>
  <si>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</si>
  <si>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</si>
  <si>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</si>
  <si>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</si>
  <si>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</si>
  <si>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Table: AT-29A</t>
  </si>
  <si>
    <t>Table: AT-29 A : Replacement of Kitchen Devices during 2019-20 in Primary &amp; Upper Primary Schools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</si>
  <si>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</si>
  <si>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</si>
  <si>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</si>
  <si>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</si>
  <si>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</si>
  <si>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</si>
  <si>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</si>
  <si>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</si>
  <si>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 xml:space="preserve">Opening Balance as on 01.04.2018                                     </t>
  </si>
  <si>
    <t>Total Unspent Balance as on 31.03.2019</t>
  </si>
  <si>
    <t>TotalEnrolment (As on 30.09.2018)</t>
  </si>
  <si>
    <r>
      <t xml:space="preserve">No. of working days </t>
    </r>
    <r>
      <rPr>
        <b/>
        <sz val="8"/>
        <rFont val="Arial"/>
        <family val="2"/>
      </rPr>
      <t xml:space="preserve">(During 01.04.18 to 31.03.2019)     </t>
    </r>
    <r>
      <rPr>
        <b/>
        <sz val="10"/>
        <rFont val="Arial"/>
        <family val="2"/>
      </rPr>
      <t xml:space="preserve">             </t>
    </r>
  </si>
  <si>
    <t xml:space="preserve">No. of working days (During 01.04.18 to 31.03.19)                  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</si>
  <si>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(01.04.18 to 31.3.19)</t>
    </r>
  </si>
  <si>
    <t>Opening Balance as on 01.04.18</t>
  </si>
  <si>
    <t xml:space="preserve">Total Unspent Balance as on 31.03.2019                                          </t>
  </si>
  <si>
    <t>Opening Balance as on 01.04.2018</t>
  </si>
  <si>
    <t>Table AT - 8 :Utilisation of funds towards honorarium to Cook-cum-Helpers (Primary classes I-V) during 2018-19</t>
  </si>
  <si>
    <t>Unspent Balance as on 31.03.2019</t>
  </si>
  <si>
    <t>For the period 01.4.18 to 31.03.19</t>
  </si>
  <si>
    <t>Opening balance as on 01.04.18</t>
  </si>
  <si>
    <r>
      <t xml:space="preserve">Unspent Balance as on 31.03.2019[Col. 4+ Col.5+Col.6 -Col.8] </t>
    </r>
    <r>
      <rPr>
        <sz val="10"/>
        <rFont val="Arial"/>
        <family val="2"/>
      </rPr>
      <t xml:space="preserve"> </t>
    </r>
  </si>
  <si>
    <t>(For the Period 01.04.18 to 31.03.19)</t>
  </si>
  <si>
    <t>Unspent balance as on 31.03.2019               [Col: (4+5)-7]</t>
  </si>
  <si>
    <t>Name of the Krishi Vigyan Kendra (KVK)</t>
  </si>
  <si>
    <t>Table AT-10 F: Information on Training of Cook-cum-Helpers</t>
  </si>
  <si>
    <t>During 01.04.18 to 31.03.2019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</si>
  <si>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</si>
  <si>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</si>
  <si>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</si>
  <si>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</si>
  <si>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</si>
  <si>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</si>
  <si>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Telangana, Hyderabad</t>
  </si>
  <si>
    <t>*Total sanctioned during 2006-07  to 2018-19</t>
  </si>
  <si>
    <t>Financial (Rs. in lakh)</t>
  </si>
  <si>
    <t>*Total sanction during 2006-07 to 2018-19</t>
  </si>
  <si>
    <t>*Total Sanction during 2012-13 to 2018-19</t>
  </si>
  <si>
    <t>Temple, Gurudwara, Jail etc. (pls specify)</t>
  </si>
  <si>
    <t>Apr, 2018</t>
  </si>
  <si>
    <t>Dec,2018</t>
  </si>
  <si>
    <t>Jan,2019</t>
  </si>
  <si>
    <t>Feb,2019</t>
  </si>
  <si>
    <t>Mar,2019</t>
  </si>
  <si>
    <t>Mode of data collection (SMS/ IVRS/ Mobile App/ Web Application/ Others)</t>
  </si>
  <si>
    <t>Name of Agency implementing AMS in State/UT</t>
  </si>
  <si>
    <t>Dec, 2018</t>
  </si>
  <si>
    <t>Jan, 2019</t>
  </si>
  <si>
    <t>District: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</si>
  <si>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</si>
  <si>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</si>
  <si>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</si>
  <si>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</si>
  <si>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</si>
  <si>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</si>
  <si>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</si>
  <si>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</si>
  <si>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</si>
  <si>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</si>
  <si>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</si>
  <si>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</si>
  <si>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Requirement of funds for Transportation Assistance</t>
  </si>
  <si>
    <t>PDS rate (Rs per Quintal)</t>
  </si>
  <si>
    <t>Total funds required (Rs. in lakh)</t>
  </si>
  <si>
    <t>Kitchen-cum-store sanctioned during 2006-07 to 2018-19</t>
  </si>
  <si>
    <t>Note : State may indicate their plinth area and size of the kitchen-cum-stores if they have any other plinth area than mentioned in the table.</t>
  </si>
  <si>
    <t>Table: AT-29 : Requirement of Kitchen Devices (new) during 2019-20 in Primary &amp; Upper Primary Schools</t>
  </si>
  <si>
    <t>Engaged in 2018-19</t>
  </si>
  <si>
    <t>Repair of kitchen-cum-stores</t>
  </si>
  <si>
    <t>Flexi fund @ 5% for new interventions</t>
  </si>
  <si>
    <t>During 01.04.178to 31.12.19</t>
  </si>
  <si>
    <t>During 01.04.18 to 31.03.19</t>
  </si>
  <si>
    <t>Excess bill payment for Rs. 6681/- has been found in Social Audit and the same was recovered from the concerned Head Masters</t>
  </si>
  <si>
    <t>Excess bill payment for Rs. 37/- has been found in Social Audit and the same was recovered from the concerned Head Masters</t>
  </si>
  <si>
    <t>Excess bill payment for Rs. 67060/-  has been found in Social Audit and the same was recovered from the concerned Head Masters</t>
  </si>
  <si>
    <t>Excess bill payment for Rs. 87527/-  has been found in Social Audit and the same was recovered from the concerned Head Masters</t>
  </si>
  <si>
    <t>Excess bill payment for Rs. 23401/-  has been found in Social Audit and the same was recovered from the concerned Head Masters</t>
  </si>
  <si>
    <t>2 days</t>
  </si>
  <si>
    <t>UNICEF</t>
  </si>
  <si>
    <t>23km</t>
  </si>
  <si>
    <t>yes</t>
  </si>
  <si>
    <t>No. of institutions where setting up of kitchen garden is proposed during 2019-20</t>
  </si>
  <si>
    <t>Vimta Labs Limited, Life Sciences Campus, Medchal- Malkajigiri</t>
  </si>
  <si>
    <t>M/s Akshayapatra Foundation</t>
  </si>
  <si>
    <t>Excess bill payment for Rs. 1443/- has been found in Social Audit and the same was recovered from the concerned Head Masters</t>
  </si>
  <si>
    <t>Excess bill payment for Rs. 6998/- has been found in Social Audit and the same was recovered from the concerned Head Masters</t>
  </si>
  <si>
    <t>Excess bill payment for Rs. 65329/- has been found in Social Audit and the same was recovered from the concerned Head Masters</t>
  </si>
  <si>
    <t>Excess bill payment for Rs. 21102/-  has been found in Social Audit and the same was recovered from the concerned Head Masters</t>
  </si>
  <si>
    <t>Excess bill payment for Rs. 5730/-  has been found in Social Audit and the same was recovered from the concerned Head Masters</t>
  </si>
  <si>
    <t>Commissioner, School Education</t>
  </si>
  <si>
    <t xml:space="preserve"> Commissioner, School Education</t>
  </si>
  <si>
    <t>Others (Payment of cooking cost)</t>
  </si>
  <si>
    <t>Khammam, Mahabubnagar</t>
  </si>
  <si>
    <t>Karimnagar, Sangareddy, Kamareddy, Hyd, Rangareddy, Mahabubnagar</t>
  </si>
  <si>
    <t>Adilabad</t>
  </si>
  <si>
    <t>Wanaparthy, Karimnagar</t>
  </si>
  <si>
    <t>Zero enrolment</t>
  </si>
  <si>
    <t>Students immediately admitted in the hospital and discharged on the same day.</t>
  </si>
  <si>
    <t>Payments are made in time</t>
  </si>
  <si>
    <t>Note: Cooking cost in State share also includes cost of egg.</t>
  </si>
  <si>
    <t>The ICDS Department has supplied the posters during POSHAN MAAH and awareness meetings are conducted at School level</t>
  </si>
  <si>
    <t xml:space="preserve">Awareness among the students on nutrition under Mid Day Meal Scheme </t>
  </si>
  <si>
    <t>7080 Kitchen-cum-stores are constructing with the convergence of MGNREGS</t>
  </si>
  <si>
    <t>Note: The amount has been sanctioned before bifurcation of  State. At present there are only 28623 schools in the State of Telangana.</t>
  </si>
  <si>
    <t>Note: The Amount has been sanctioned before bifurcation of the State. There is a need of reconcilation with the Andhra Pradesh.</t>
  </si>
  <si>
    <t>891 (Zero Enrolment)</t>
  </si>
  <si>
    <t xml:space="preserve">Zero Enrolment </t>
  </si>
  <si>
    <t>Zero Enrolment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</si>
</sst>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0.000000000000"/>
    <numFmt numFmtId="166" formatCode="0.000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i/>
      <u val="single"/>
      <sz val="11"/>
      <name val="Arial"/>
      <family val="2"/>
    </font>
    <font>
      <sz val="10"/>
      <name val="Trebuchet MS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i/>
      <sz val="12"/>
      <name val="Arial"/>
      <family val="2"/>
    </font>
    <font>
      <b/>
      <sz val="7"/>
      <color indexed="8"/>
      <name val="Arial"/>
      <family val="2"/>
    </font>
    <font>
      <sz val="45"/>
      <name val="Arial"/>
      <family val="2"/>
    </font>
    <font>
      <b/>
      <sz val="40"/>
      <name val="Arial"/>
      <family val="2"/>
    </font>
    <font>
      <b/>
      <sz val="55"/>
      <name val="Arial"/>
      <family val="2"/>
    </font>
    <font>
      <b/>
      <sz val="45"/>
      <name val="Arial"/>
      <family val="2"/>
    </font>
    <font>
      <b/>
      <sz val="2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9"/>
      <color indexed="10"/>
      <name val="Arial"/>
      <family val="2"/>
    </font>
    <font>
      <b/>
      <sz val="12"/>
      <name val="Cambria"/>
      <family val="1"/>
    </font>
    <font>
      <b/>
      <i/>
      <sz val="40"/>
      <color indexed="8"/>
      <name val="Arial"/>
      <family val="2"/>
    </font>
    <font>
      <b/>
      <sz val="75"/>
      <color indexed="8"/>
      <name val="Calibri"/>
      <family val="2"/>
    </font>
    <font>
      <b/>
      <sz val="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i/>
      <sz val="40"/>
      <color theme="1"/>
      <name val="Arial"/>
      <family val="2"/>
    </font>
    <font>
      <b/>
      <sz val="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9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17" fillId="0" borderId="0" xfId="55" applyFont="1">
      <alignment/>
      <protection/>
    </xf>
    <xf numFmtId="0" fontId="18" fillId="0" borderId="10" xfId="55" applyFont="1" applyBorder="1" applyAlignment="1">
      <alignment horizontal="center" vertical="top" wrapText="1"/>
      <protection/>
    </xf>
    <xf numFmtId="0" fontId="19" fillId="0" borderId="0" xfId="55" applyFont="1" applyAlignment="1">
      <alignment horizontal="left"/>
      <protection/>
    </xf>
    <xf numFmtId="0" fontId="0" fillId="0" borderId="0" xfId="57">
      <alignment/>
      <protection/>
    </xf>
    <xf numFmtId="0" fontId="11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3" fillId="0" borderId="0" xfId="57" applyFont="1" applyAlignment="1">
      <alignment/>
      <protection/>
    </xf>
    <xf numFmtId="0" fontId="1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7" fillId="0" borderId="10" xfId="55" applyFont="1" applyBorder="1">
      <alignment/>
      <protection/>
    </xf>
    <xf numFmtId="0" fontId="17" fillId="0" borderId="10" xfId="55" applyFont="1" applyBorder="1" applyAlignment="1">
      <alignment wrapText="1"/>
      <protection/>
    </xf>
    <xf numFmtId="0" fontId="17" fillId="0" borderId="10" xfId="55" applyFont="1" applyBorder="1" applyAlignment="1">
      <alignment/>
      <protection/>
    </xf>
    <xf numFmtId="0" fontId="17" fillId="0" borderId="0" xfId="55" applyFont="1" applyBorder="1">
      <alignment/>
      <protection/>
    </xf>
    <xf numFmtId="0" fontId="2" fillId="0" borderId="17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18" fillId="0" borderId="18" xfId="55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/>
    </xf>
    <xf numFmtId="0" fontId="10" fillId="0" borderId="0" xfId="57" applyFont="1" applyAlignment="1">
      <alignment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0" fillId="0" borderId="0" xfId="55" applyFont="1">
      <alignment/>
      <protection/>
    </xf>
    <xf numFmtId="0" fontId="8" fillId="0" borderId="0" xfId="55" applyFont="1">
      <alignment/>
      <protection/>
    </xf>
    <xf numFmtId="0" fontId="2" fillId="0" borderId="10" xfId="55" applyFont="1" applyBorder="1">
      <alignment/>
      <protection/>
    </xf>
    <xf numFmtId="0" fontId="16" fillId="0" borderId="10" xfId="55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4" fillId="0" borderId="18" xfId="55" applyFont="1" applyBorder="1" applyAlignment="1">
      <alignment horizontal="center" vertical="top" wrapText="1"/>
      <protection/>
    </xf>
    <xf numFmtId="0" fontId="25" fillId="0" borderId="17" xfId="55" applyFont="1" applyBorder="1" applyAlignment="1">
      <alignment horizontal="center" wrapText="1"/>
      <protection/>
    </xf>
    <xf numFmtId="0" fontId="25" fillId="0" borderId="14" xfId="55" applyFont="1" applyBorder="1" applyAlignment="1">
      <alignment horizontal="center"/>
      <protection/>
    </xf>
    <xf numFmtId="0" fontId="2" fillId="0" borderId="19" xfId="57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0" xfId="57" applyFont="1" applyBorder="1" applyAlignment="1">
      <alignment horizontal="center" vertical="top" wrapText="1"/>
      <protection/>
    </xf>
    <xf numFmtId="0" fontId="2" fillId="0" borderId="10" xfId="55" applyFont="1" applyBorder="1" applyAlignment="1">
      <alignment horizontal="center"/>
      <protection/>
    </xf>
    <xf numFmtId="0" fontId="16" fillId="0" borderId="10" xfId="57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/>
      <protection/>
    </xf>
    <xf numFmtId="0" fontId="7" fillId="0" borderId="10" xfId="57" applyFont="1" applyBorder="1" applyAlignment="1">
      <alignment horizontal="left" vertical="center" wrapText="1"/>
      <protection/>
    </xf>
    <xf numFmtId="0" fontId="6" fillId="0" borderId="0" xfId="58" applyFont="1" applyAlignment="1">
      <alignment/>
      <protection/>
    </xf>
    <xf numFmtId="0" fontId="11" fillId="0" borderId="0" xfId="58" applyFont="1" applyAlignment="1">
      <alignment/>
      <protection/>
    </xf>
    <xf numFmtId="0" fontId="4" fillId="0" borderId="0" xfId="58" applyFont="1">
      <alignment/>
      <protection/>
    </xf>
    <xf numFmtId="0" fontId="16" fillId="0" borderId="10" xfId="58" applyFont="1" applyBorder="1" applyAlignment="1">
      <alignment horizontal="center" vertical="top" wrapText="1"/>
      <protection/>
    </xf>
    <xf numFmtId="0" fontId="16" fillId="0" borderId="0" xfId="58" applyFont="1">
      <alignment/>
      <protection/>
    </xf>
    <xf numFmtId="0" fontId="16" fillId="0" borderId="10" xfId="58" applyFont="1" applyBorder="1">
      <alignment/>
      <protection/>
    </xf>
    <xf numFmtId="0" fontId="16" fillId="0" borderId="0" xfId="58" applyFont="1" applyBorder="1">
      <alignment/>
      <protection/>
    </xf>
    <xf numFmtId="0" fontId="2" fillId="0" borderId="0" xfId="58" applyFont="1">
      <alignment/>
      <protection/>
    </xf>
    <xf numFmtId="0" fontId="16" fillId="0" borderId="10" xfId="58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Font="1" applyBorder="1" applyAlignment="1">
      <alignment horizontal="left" wrapText="1"/>
      <protection/>
    </xf>
    <xf numFmtId="0" fontId="0" fillId="0" borderId="0" xfId="59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14" fillId="0" borderId="10" xfId="59" applyFont="1" applyBorder="1" applyAlignment="1">
      <alignment horizontal="center" vertical="top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12" fillId="0" borderId="10" xfId="59" applyFont="1" applyBorder="1" applyAlignment="1">
      <alignment horizontal="left" vertical="top" wrapText="1"/>
      <protection/>
    </xf>
    <xf numFmtId="0" fontId="12" fillId="0" borderId="10" xfId="59" applyFont="1" applyBorder="1" applyAlignment="1">
      <alignment horizontal="center" vertical="top" wrapText="1"/>
      <protection/>
    </xf>
    <xf numFmtId="0" fontId="12" fillId="0" borderId="0" xfId="59" applyFont="1" applyAlignment="1">
      <alignment horizontal="left"/>
      <protection/>
    </xf>
    <xf numFmtId="0" fontId="2" fillId="0" borderId="0" xfId="55" applyFont="1">
      <alignment/>
      <protection/>
    </xf>
    <xf numFmtId="0" fontId="16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/>
      <protection/>
    </xf>
    <xf numFmtId="0" fontId="2" fillId="0" borderId="0" xfId="55" applyFont="1" applyAlignment="1">
      <alignment vertical="top" wrapText="1"/>
      <protection/>
    </xf>
    <xf numFmtId="0" fontId="14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0" fillId="33" borderId="0" xfId="55" applyFont="1" applyFill="1">
      <alignment/>
      <protection/>
    </xf>
    <xf numFmtId="0" fontId="16" fillId="33" borderId="10" xfId="55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7" applyFont="1" applyAlignment="1">
      <alignment/>
      <protection/>
    </xf>
    <xf numFmtId="0" fontId="16" fillId="0" borderId="0" xfId="57" applyFont="1" applyAlignment="1">
      <alignment horizontal="right"/>
      <protection/>
    </xf>
    <xf numFmtId="0" fontId="28" fillId="0" borderId="10" xfId="0" applyFont="1" applyBorder="1" applyAlignment="1" quotePrefix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13" fillId="0" borderId="0" xfId="57" applyFont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55" applyFont="1" applyAlignment="1">
      <alignment horizontal="center" vertical="top" wrapText="1"/>
      <protection/>
    </xf>
    <xf numFmtId="0" fontId="16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56" applyFont="1" applyAlignment="1">
      <alignment horizontal="center" vertical="top" wrapText="1"/>
      <protection/>
    </xf>
    <xf numFmtId="0" fontId="16" fillId="0" borderId="1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10" xfId="55" applyFont="1" applyBorder="1" applyAlignment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0" xfId="55" applyFont="1" applyAlignment="1">
      <alignment horizontal="center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57" applyFont="1" applyBorder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0" fillId="0" borderId="12" xfId="55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 vertical="top" wrapText="1"/>
      <protection/>
    </xf>
    <xf numFmtId="0" fontId="20" fillId="0" borderId="18" xfId="55" applyFont="1" applyBorder="1" applyAlignment="1">
      <alignment horizontal="center" vertical="top" wrapText="1"/>
      <protection/>
    </xf>
    <xf numFmtId="0" fontId="16" fillId="0" borderId="12" xfId="58" applyFont="1" applyBorder="1" applyAlignment="1">
      <alignment horizontal="center" vertical="top" wrapText="1"/>
      <protection/>
    </xf>
    <xf numFmtId="0" fontId="16" fillId="0" borderId="20" xfId="58" applyFont="1" applyBorder="1" applyAlignment="1">
      <alignment horizontal="center" vertical="top" wrapText="1"/>
      <protection/>
    </xf>
    <xf numFmtId="0" fontId="16" fillId="0" borderId="13" xfId="58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0" borderId="10" xfId="56" applyFont="1" applyBorder="1">
      <alignment/>
      <protection/>
    </xf>
    <xf numFmtId="0" fontId="92" fillId="0" borderId="0" xfId="0" applyFont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top" wrapText="1"/>
    </xf>
    <xf numFmtId="0" fontId="93" fillId="0" borderId="0" xfId="0" applyFont="1" applyAlignment="1">
      <alignment/>
    </xf>
    <xf numFmtId="0" fontId="0" fillId="0" borderId="11" xfId="0" applyFont="1" applyBorder="1" applyAlignment="1">
      <alignment/>
    </xf>
    <xf numFmtId="0" fontId="94" fillId="0" borderId="0" xfId="0" applyFont="1" applyBorder="1" applyAlignment="1">
      <alignment vertical="top"/>
    </xf>
    <xf numFmtId="0" fontId="92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96" fillId="33" borderId="10" xfId="0" applyFont="1" applyFill="1" applyBorder="1" applyAlignment="1">
      <alignment horizontal="center" vertical="top" wrapText="1"/>
    </xf>
    <xf numFmtId="0" fontId="95" fillId="0" borderId="0" xfId="0" applyFont="1" applyAlignment="1">
      <alignment horizontal="center"/>
    </xf>
    <xf numFmtId="0" fontId="16" fillId="33" borderId="10" xfId="0" applyFont="1" applyFill="1" applyBorder="1" applyAlignment="1" quotePrefix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96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center"/>
    </xf>
    <xf numFmtId="0" fontId="98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center" vertical="top" wrapText="1"/>
    </xf>
    <xf numFmtId="0" fontId="96" fillId="0" borderId="0" xfId="0" applyFont="1" applyAlignment="1">
      <alignment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left" vertical="center" wrapText="1" indent="2"/>
    </xf>
    <xf numFmtId="0" fontId="99" fillId="0" borderId="0" xfId="0" applyFont="1" applyBorder="1" applyAlignment="1">
      <alignment horizontal="left" vertical="center" wrapText="1" indent="2"/>
    </xf>
    <xf numFmtId="0" fontId="99" fillId="0" borderId="0" xfId="0" applyFont="1" applyBorder="1" applyAlignment="1">
      <alignment vertical="center" wrapText="1"/>
    </xf>
    <xf numFmtId="0" fontId="96" fillId="0" borderId="12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center" wrapText="1"/>
    </xf>
    <xf numFmtId="0" fontId="100" fillId="0" borderId="0" xfId="55" applyFont="1">
      <alignment/>
      <protection/>
    </xf>
    <xf numFmtId="0" fontId="100" fillId="0" borderId="0" xfId="55" applyFont="1" applyAlignment="1">
      <alignment horizontal="left"/>
      <protection/>
    </xf>
    <xf numFmtId="0" fontId="100" fillId="0" borderId="15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18" fillId="0" borderId="0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00" fillId="0" borderId="10" xfId="55" applyFont="1" applyBorder="1">
      <alignment/>
      <protection/>
    </xf>
    <xf numFmtId="0" fontId="100" fillId="0" borderId="0" xfId="55" applyFont="1" applyBorder="1">
      <alignment/>
      <protection/>
    </xf>
    <xf numFmtId="0" fontId="18" fillId="0" borderId="0" xfId="55" applyFont="1" applyBorder="1" applyAlignment="1">
      <alignment horizontal="left"/>
      <protection/>
    </xf>
    <xf numFmtId="0" fontId="25" fillId="0" borderId="0" xfId="55" applyFont="1">
      <alignment/>
      <protection/>
    </xf>
    <xf numFmtId="0" fontId="18" fillId="0" borderId="0" xfId="55" applyFont="1" applyAlignment="1">
      <alignment horizontal="center" vertical="top" wrapText="1"/>
      <protection/>
    </xf>
    <xf numFmtId="0" fontId="18" fillId="0" borderId="10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0" fillId="0" borderId="0" xfId="0" applyFont="1" applyBorder="1" applyAlignment="1" quotePrefix="1">
      <alignment horizontal="center" vertical="top" wrapText="1"/>
    </xf>
    <xf numFmtId="0" fontId="0" fillId="0" borderId="0" xfId="58" applyFont="1">
      <alignment/>
      <protection/>
    </xf>
    <xf numFmtId="0" fontId="0" fillId="0" borderId="10" xfId="58" applyFont="1" applyBorder="1">
      <alignment/>
      <protection/>
    </xf>
    <xf numFmtId="0" fontId="0" fillId="0" borderId="0" xfId="58" applyFont="1" applyFill="1" applyBorder="1" applyAlignment="1">
      <alignment horizontal="left"/>
      <protection/>
    </xf>
    <xf numFmtId="2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2" fillId="0" borderId="10" xfId="55" applyFont="1" applyBorder="1" applyAlignment="1">
      <alignment horizontal="right" vertical="center"/>
      <protection/>
    </xf>
    <xf numFmtId="2" fontId="2" fillId="0" borderId="0" xfId="55" applyNumberFormat="1" applyFont="1">
      <alignment/>
      <protection/>
    </xf>
    <xf numFmtId="0" fontId="0" fillId="0" borderId="10" xfId="0" applyBorder="1" applyAlignment="1">
      <alignment/>
    </xf>
    <xf numFmtId="0" fontId="50" fillId="33" borderId="10" xfId="55" applyFont="1" applyFill="1" applyBorder="1" applyAlignment="1" quotePrefix="1">
      <alignment horizontal="center" vertical="center" wrapText="1"/>
      <protection/>
    </xf>
    <xf numFmtId="0" fontId="51" fillId="33" borderId="18" xfId="55" applyFont="1" applyFill="1" applyBorder="1" applyAlignment="1" quotePrefix="1">
      <alignment horizontal="center" vertical="center" wrapText="1"/>
      <protection/>
    </xf>
    <xf numFmtId="0" fontId="50" fillId="0" borderId="10" xfId="55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left" vertical="center"/>
      <protection/>
    </xf>
    <xf numFmtId="0" fontId="50" fillId="0" borderId="10" xfId="55" applyFont="1" applyBorder="1">
      <alignment/>
      <protection/>
    </xf>
    <xf numFmtId="0" fontId="50" fillId="0" borderId="10" xfId="55" applyFont="1" applyBorder="1" applyAlignment="1">
      <alignment horizontal="left"/>
      <protection/>
    </xf>
    <xf numFmtId="0" fontId="50" fillId="0" borderId="10" xfId="55" applyFont="1" applyBorder="1" applyAlignment="1">
      <alignment horizontal="center"/>
      <protection/>
    </xf>
    <xf numFmtId="0" fontId="50" fillId="0" borderId="10" xfId="55" applyFont="1" applyBorder="1" applyAlignment="1">
      <alignment/>
      <protection/>
    </xf>
    <xf numFmtId="0" fontId="52" fillId="0" borderId="10" xfId="55" applyFont="1" applyBorder="1" applyAlignment="1">
      <alignment horizontal="center"/>
      <protection/>
    </xf>
    <xf numFmtId="0" fontId="52" fillId="0" borderId="10" xfId="55" applyFont="1" applyBorder="1">
      <alignment/>
      <protection/>
    </xf>
    <xf numFmtId="0" fontId="50" fillId="0" borderId="0" xfId="55" applyFont="1" applyBorder="1">
      <alignment/>
      <protection/>
    </xf>
    <xf numFmtId="0" fontId="50" fillId="0" borderId="0" xfId="55" applyFont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right"/>
    </xf>
    <xf numFmtId="14" fontId="12" fillId="0" borderId="10" xfId="59" applyNumberFormat="1" applyFont="1" applyBorder="1" applyAlignment="1">
      <alignment horizontal="center" vertical="top" wrapText="1"/>
      <protection/>
    </xf>
    <xf numFmtId="2" fontId="12" fillId="0" borderId="10" xfId="59" applyNumberFormat="1" applyFont="1" applyBorder="1" applyAlignment="1">
      <alignment horizontal="right" vertical="top" wrapText="1"/>
      <protection/>
    </xf>
    <xf numFmtId="2" fontId="12" fillId="0" borderId="10" xfId="59" applyNumberFormat="1" applyFont="1" applyBorder="1" applyAlignment="1">
      <alignment horizontal="right" vertical="center" wrapText="1"/>
      <protection/>
    </xf>
    <xf numFmtId="0" fontId="12" fillId="0" borderId="10" xfId="59" applyFont="1" applyBorder="1" applyAlignment="1">
      <alignment horizontal="righ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top" wrapText="1"/>
    </xf>
    <xf numFmtId="0" fontId="50" fillId="0" borderId="0" xfId="55" applyFont="1">
      <alignment/>
      <protection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Border="1" applyAlignment="1">
      <alignment horizontal="right"/>
    </xf>
    <xf numFmtId="0" fontId="14" fillId="0" borderId="14" xfId="59" applyFont="1" applyBorder="1" applyAlignment="1">
      <alignment horizontal="center" vertical="top" wrapText="1"/>
      <protection/>
    </xf>
    <xf numFmtId="0" fontId="11" fillId="0" borderId="13" xfId="59" applyFont="1" applyBorder="1" applyAlignment="1">
      <alignment horizontal="left" vertical="top" wrapText="1"/>
      <protection/>
    </xf>
    <xf numFmtId="0" fontId="14" fillId="0" borderId="10" xfId="59" applyFont="1" applyBorder="1" applyAlignment="1">
      <alignment horizontal="left" vertical="center" wrapText="1"/>
      <protection/>
    </xf>
    <xf numFmtId="0" fontId="6" fillId="0" borderId="12" xfId="59" applyFont="1" applyBorder="1" applyAlignment="1">
      <alignment horizontal="center" vertical="top" wrapText="1"/>
      <protection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57" applyFont="1" applyBorder="1">
      <alignment/>
      <protection/>
    </xf>
    <xf numFmtId="0" fontId="96" fillId="0" borderId="0" xfId="55" applyFont="1">
      <alignment/>
      <protection/>
    </xf>
    <xf numFmtId="0" fontId="18" fillId="0" borderId="10" xfId="55" applyFont="1" applyBorder="1">
      <alignment/>
      <protection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9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55" applyNumberFormat="1" applyFont="1" applyBorder="1" applyAlignment="1">
      <alignment horizontal="right"/>
      <protection/>
    </xf>
    <xf numFmtId="2" fontId="0" fillId="33" borderId="10" xfId="55" applyNumberFormat="1" applyFont="1" applyFill="1" applyBorder="1" applyAlignment="1">
      <alignment horizontal="right"/>
      <protection/>
    </xf>
    <xf numFmtId="2" fontId="2" fillId="0" borderId="10" xfId="55" applyNumberFormat="1" applyFont="1" applyBorder="1">
      <alignment/>
      <protection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right" vertical="top" wrapText="1"/>
    </xf>
    <xf numFmtId="0" fontId="0" fillId="0" borderId="10" xfId="55" applyFont="1" applyBorder="1" applyAlignment="1">
      <alignment vertical="top" wrapText="1"/>
      <protection/>
    </xf>
    <xf numFmtId="0" fontId="0" fillId="0" borderId="10" xfId="57" applyFont="1" applyBorder="1" applyAlignment="1">
      <alignment horizontal="right" vertical="top" wrapText="1"/>
      <protection/>
    </xf>
    <xf numFmtId="0" fontId="0" fillId="0" borderId="12" xfId="57" applyFont="1" applyBorder="1" applyAlignment="1">
      <alignment horizontal="right" vertical="top" wrapText="1"/>
      <protection/>
    </xf>
    <xf numFmtId="0" fontId="0" fillId="0" borderId="11" xfId="57" applyFont="1" applyBorder="1" applyAlignment="1">
      <alignment horizontal="right" vertical="top" wrapText="1"/>
      <protection/>
    </xf>
    <xf numFmtId="0" fontId="0" fillId="0" borderId="10" xfId="57" applyFont="1" applyBorder="1" applyAlignment="1">
      <alignment horizontal="right"/>
      <protection/>
    </xf>
    <xf numFmtId="0" fontId="0" fillId="0" borderId="12" xfId="57" applyFont="1" applyBorder="1" applyAlignment="1">
      <alignment horizontal="right"/>
      <protection/>
    </xf>
    <xf numFmtId="0" fontId="2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/>
    </xf>
    <xf numFmtId="2" fontId="0" fillId="0" borderId="10" xfId="58" applyNumberFormat="1" applyFont="1" applyBorder="1">
      <alignment/>
      <protection/>
    </xf>
    <xf numFmtId="2" fontId="2" fillId="0" borderId="10" xfId="58" applyNumberFormat="1" applyFont="1" applyBorder="1">
      <alignment/>
      <protection/>
    </xf>
    <xf numFmtId="0" fontId="101" fillId="0" borderId="0" xfId="0" applyFont="1" applyAlignment="1">
      <alignment/>
    </xf>
    <xf numFmtId="0" fontId="101" fillId="0" borderId="0" xfId="55" applyFont="1">
      <alignment/>
      <protection/>
    </xf>
    <xf numFmtId="0" fontId="101" fillId="33" borderId="0" xfId="55" applyFont="1" applyFill="1">
      <alignment/>
      <protection/>
    </xf>
    <xf numFmtId="0" fontId="102" fillId="0" borderId="0" xfId="0" applyFont="1" applyBorder="1" applyAlignment="1">
      <alignment vertical="top"/>
    </xf>
    <xf numFmtId="0" fontId="102" fillId="0" borderId="0" xfId="0" applyFont="1" applyBorder="1" applyAlignment="1">
      <alignment horizontal="left" wrapText="1"/>
    </xf>
    <xf numFmtId="0" fontId="102" fillId="0" borderId="0" xfId="0" applyFont="1" applyAlignment="1">
      <alignment/>
    </xf>
    <xf numFmtId="2" fontId="102" fillId="0" borderId="0" xfId="0" applyNumberFormat="1" applyFont="1" applyBorder="1" applyAlignment="1">
      <alignment vertical="top"/>
    </xf>
    <xf numFmtId="2" fontId="102" fillId="0" borderId="0" xfId="0" applyNumberFormat="1" applyFont="1" applyBorder="1" applyAlignment="1">
      <alignment horizontal="left" wrapText="1"/>
    </xf>
    <xf numFmtId="2" fontId="102" fillId="0" borderId="0" xfId="0" applyNumberFormat="1" applyFont="1" applyAlignment="1">
      <alignment/>
    </xf>
    <xf numFmtId="0" fontId="101" fillId="0" borderId="0" xfId="0" applyFont="1" applyBorder="1" applyAlignment="1">
      <alignment/>
    </xf>
    <xf numFmtId="0" fontId="101" fillId="0" borderId="0" xfId="0" applyFont="1" applyAlignment="1">
      <alignment vertical="top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 wrapText="1"/>
    </xf>
    <xf numFmtId="0" fontId="2" fillId="0" borderId="0" xfId="55" applyFont="1" applyBorder="1" applyAlignment="1">
      <alignment horizontal="center"/>
      <protection/>
    </xf>
    <xf numFmtId="0" fontId="2" fillId="0" borderId="15" xfId="0" applyFont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55" applyFont="1" applyBorder="1" applyAlignment="1">
      <alignment horizontal="right"/>
      <protection/>
    </xf>
    <xf numFmtId="0" fontId="2" fillId="0" borderId="10" xfId="55" applyFont="1" applyBorder="1" applyAlignment="1">
      <alignment horizontal="right" vertical="top" wrapText="1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5" applyFont="1" applyBorder="1" applyAlignment="1">
      <alignment horizontal="right" vertical="top" wrapText="1"/>
      <protection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56" applyFont="1" applyFill="1" applyBorder="1">
      <alignment/>
      <protection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103" fillId="0" borderId="14" xfId="0" applyFont="1" applyBorder="1" applyAlignment="1">
      <alignment horizontal="right" vertical="center" wrapText="1"/>
    </xf>
    <xf numFmtId="0" fontId="0" fillId="0" borderId="10" xfId="57" applyBorder="1">
      <alignment/>
      <protection/>
    </xf>
    <xf numFmtId="1" fontId="0" fillId="0" borderId="13" xfId="0" applyNumberFormat="1" applyFont="1" applyBorder="1" applyAlignment="1">
      <alignment vertical="top" wrapText="1"/>
    </xf>
    <xf numFmtId="165" fontId="2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33" borderId="10" xfId="0" applyFont="1" applyFill="1" applyBorder="1" applyAlignment="1" quotePrefix="1">
      <alignment horizontal="center" wrapText="1"/>
    </xf>
    <xf numFmtId="0" fontId="0" fillId="0" borderId="17" xfId="0" applyFont="1" applyFill="1" applyBorder="1" applyAlignment="1">
      <alignment/>
    </xf>
    <xf numFmtId="0" fontId="14" fillId="0" borderId="12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left" vertical="center" wrapText="1"/>
      <protection/>
    </xf>
    <xf numFmtId="14" fontId="12" fillId="0" borderId="10" xfId="5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0" fillId="0" borderId="0" xfId="55" applyNumberFormat="1" applyFont="1">
      <alignment/>
      <protection/>
    </xf>
    <xf numFmtId="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91" fillId="0" borderId="10" xfId="0" applyFont="1" applyBorder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 vertical="center"/>
      <protection/>
    </xf>
    <xf numFmtId="14" fontId="12" fillId="0" borderId="10" xfId="59" applyNumberFormat="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103" fillId="0" borderId="10" xfId="0" applyFont="1" applyBorder="1" applyAlignment="1">
      <alignment vertical="center" wrapText="1"/>
    </xf>
    <xf numFmtId="0" fontId="103" fillId="0" borderId="12" xfId="0" applyFont="1" applyBorder="1" applyAlignment="1">
      <alignment vertical="center" wrapText="1"/>
    </xf>
    <xf numFmtId="0" fontId="100" fillId="0" borderId="10" xfId="0" applyFont="1" applyBorder="1" applyAlignment="1">
      <alignment/>
    </xf>
    <xf numFmtId="0" fontId="10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18" fillId="0" borderId="10" xfId="55" applyFont="1" applyFill="1" applyBorder="1">
      <alignment/>
      <protection/>
    </xf>
    <xf numFmtId="0" fontId="103" fillId="0" borderId="10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2" fontId="0" fillId="0" borderId="0" xfId="58" applyNumberFormat="1" applyFont="1">
      <alignment/>
      <protection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/>
    </xf>
    <xf numFmtId="0" fontId="96" fillId="0" borderId="10" xfId="55" applyFont="1" applyFill="1" applyBorder="1">
      <alignment/>
      <protection/>
    </xf>
    <xf numFmtId="0" fontId="96" fillId="0" borderId="0" xfId="55" applyFont="1" applyFill="1">
      <alignment/>
      <protection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26" fillId="0" borderId="0" xfId="55" applyFont="1" applyAlignment="1">
      <alignment/>
      <protection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166" fontId="0" fillId="0" borderId="0" xfId="55" applyNumberFormat="1" applyFont="1">
      <alignment/>
      <protection/>
    </xf>
    <xf numFmtId="2" fontId="14" fillId="0" borderId="10" xfId="59" applyNumberFormat="1" applyFont="1" applyBorder="1" applyAlignment="1">
      <alignment horizontal="center" vertical="top" wrapText="1"/>
      <protection/>
    </xf>
    <xf numFmtId="2" fontId="12" fillId="0" borderId="10" xfId="59" applyNumberFormat="1" applyFont="1" applyBorder="1" applyAlignment="1">
      <alignment horizontal="center" vertical="top" wrapText="1"/>
      <protection/>
    </xf>
    <xf numFmtId="0" fontId="100" fillId="0" borderId="0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center"/>
      <protection/>
    </xf>
    <xf numFmtId="0" fontId="96" fillId="0" borderId="0" xfId="55" applyFont="1" applyBorder="1">
      <alignment/>
      <protection/>
    </xf>
    <xf numFmtId="0" fontId="5" fillId="0" borderId="0" xfId="0" applyFont="1" applyAlignment="1">
      <alignment/>
    </xf>
    <xf numFmtId="2" fontId="0" fillId="0" borderId="1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3" fontId="103" fillId="0" borderId="14" xfId="0" applyNumberFormat="1" applyFont="1" applyBorder="1" applyAlignment="1">
      <alignment horizontal="right" vertical="center" wrapText="1"/>
    </xf>
    <xf numFmtId="0" fontId="103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top" wrapText="1"/>
    </xf>
    <xf numFmtId="0" fontId="96" fillId="0" borderId="10" xfId="0" applyFont="1" applyBorder="1" applyAlignment="1">
      <alignment horizontal="center"/>
    </xf>
    <xf numFmtId="0" fontId="2" fillId="0" borderId="0" xfId="55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0" fontId="2" fillId="0" borderId="10" xfId="55" applyFont="1" applyBorder="1" applyAlignment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2" fillId="0" borderId="0" xfId="57" applyFont="1" applyAlignment="1">
      <alignment horizontal="center" vertical="top" wrapText="1"/>
      <protection/>
    </xf>
    <xf numFmtId="0" fontId="15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/>
      <protection/>
    </xf>
    <xf numFmtId="0" fontId="12" fillId="0" borderId="0" xfId="57" applyFont="1" applyBorder="1">
      <alignment/>
      <protection/>
    </xf>
    <xf numFmtId="0" fontId="14" fillId="0" borderId="10" xfId="57" applyFont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 wrapText="1"/>
      <protection/>
    </xf>
    <xf numFmtId="0" fontId="23" fillId="0" borderId="0" xfId="57" applyFont="1" applyAlignment="1">
      <alignment vertical="top" wrapText="1"/>
      <protection/>
    </xf>
    <xf numFmtId="0" fontId="12" fillId="0" borderId="10" xfId="57" applyFont="1" applyBorder="1" applyAlignment="1">
      <alignment horizontal="center" vertical="top" wrapText="1"/>
      <protection/>
    </xf>
    <xf numFmtId="0" fontId="12" fillId="0" borderId="10" xfId="57" applyFont="1" applyBorder="1" applyAlignment="1">
      <alignment vertical="top" wrapText="1"/>
      <protection/>
    </xf>
    <xf numFmtId="0" fontId="12" fillId="0" borderId="10" xfId="57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0" fontId="12" fillId="0" borderId="0" xfId="57" applyFont="1" applyAlignment="1">
      <alignment vertical="top" wrapText="1"/>
      <protection/>
    </xf>
    <xf numFmtId="0" fontId="14" fillId="0" borderId="10" xfId="57" applyFont="1" applyBorder="1" applyAlignment="1">
      <alignment vertical="top" wrapText="1"/>
      <protection/>
    </xf>
    <xf numFmtId="0" fontId="14" fillId="0" borderId="10" xfId="57" applyFont="1" applyFill="1" applyBorder="1" applyAlignment="1">
      <alignment vertical="top" wrapText="1"/>
      <protection/>
    </xf>
    <xf numFmtId="0" fontId="14" fillId="0" borderId="10" xfId="57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vertical="top" wrapText="1"/>
      <protection/>
    </xf>
    <xf numFmtId="0" fontId="14" fillId="0" borderId="0" xfId="57" applyFont="1" applyFill="1" applyBorder="1" applyAlignment="1">
      <alignment vertical="top" wrapText="1"/>
      <protection/>
    </xf>
    <xf numFmtId="0" fontId="12" fillId="0" borderId="0" xfId="57" applyFont="1" applyBorder="1" applyAlignment="1">
      <alignment horizontal="center" vertical="top" wrapText="1"/>
      <protection/>
    </xf>
    <xf numFmtId="0" fontId="14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6" fillId="0" borderId="15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12" fillId="0" borderId="10" xfId="57" applyFont="1" applyBorder="1" applyAlignment="1">
      <alignment horizontal="right"/>
      <protection/>
    </xf>
    <xf numFmtId="0" fontId="6" fillId="0" borderId="0" xfId="57" applyFont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103" fillId="0" borderId="14" xfId="0" applyFont="1" applyBorder="1" applyAlignment="1">
      <alignment horizontal="right" vertical="center"/>
    </xf>
    <xf numFmtId="0" fontId="103" fillId="0" borderId="14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101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 quotePrefix="1">
      <alignment horizontal="right" vertical="top" wrapText="1"/>
    </xf>
    <xf numFmtId="0" fontId="0" fillId="0" borderId="10" xfId="56" applyFont="1" applyBorder="1" applyAlignment="1">
      <alignment horizontal="right"/>
      <protection/>
    </xf>
    <xf numFmtId="1" fontId="100" fillId="0" borderId="0" xfId="0" applyNumberFormat="1" applyFont="1" applyAlignment="1">
      <alignment horizontal="center"/>
    </xf>
    <xf numFmtId="2" fontId="100" fillId="0" borderId="10" xfId="55" applyNumberFormat="1" applyFont="1" applyBorder="1">
      <alignment/>
      <protection/>
    </xf>
    <xf numFmtId="1" fontId="100" fillId="0" borderId="10" xfId="55" applyNumberFormat="1" applyFont="1" applyBorder="1">
      <alignment/>
      <protection/>
    </xf>
    <xf numFmtId="1" fontId="96" fillId="0" borderId="10" xfId="55" applyNumberFormat="1" applyFont="1" applyBorder="1">
      <alignment/>
      <protection/>
    </xf>
    <xf numFmtId="2" fontId="96" fillId="0" borderId="10" xfId="55" applyNumberFormat="1" applyFont="1" applyBorder="1">
      <alignment/>
      <protection/>
    </xf>
    <xf numFmtId="0" fontId="96" fillId="0" borderId="10" xfId="55" applyFont="1" applyBorder="1">
      <alignment/>
      <protection/>
    </xf>
    <xf numFmtId="0" fontId="2" fillId="0" borderId="10" xfId="0" applyFont="1" applyBorder="1" applyAlignment="1">
      <alignment vertical="center"/>
    </xf>
    <xf numFmtId="0" fontId="100" fillId="0" borderId="10" xfId="55" applyFont="1" applyBorder="1" applyAlignment="1">
      <alignment horizontal="right"/>
      <protection/>
    </xf>
    <xf numFmtId="0" fontId="96" fillId="0" borderId="10" xfId="55" applyFont="1" applyFill="1" applyBorder="1" applyAlignment="1">
      <alignment horizontal="right"/>
      <protection/>
    </xf>
    <xf numFmtId="0" fontId="42" fillId="0" borderId="10" xfId="55" applyFont="1" applyBorder="1" applyAlignment="1">
      <alignment horizontal="right" vertical="top" wrapText="1"/>
      <protection/>
    </xf>
    <xf numFmtId="0" fontId="42" fillId="0" borderId="0" xfId="55" applyFont="1" applyAlignment="1">
      <alignment horizontal="right"/>
      <protection/>
    </xf>
    <xf numFmtId="0" fontId="42" fillId="0" borderId="10" xfId="55" applyFont="1" applyBorder="1" applyAlignment="1">
      <alignment vertical="top" wrapText="1"/>
      <protection/>
    </xf>
    <xf numFmtId="0" fontId="0" fillId="0" borderId="10" xfId="0" applyBorder="1" applyAlignment="1">
      <alignment vertical="center"/>
    </xf>
    <xf numFmtId="0" fontId="20" fillId="0" borderId="0" xfId="55" applyFont="1" applyAlignment="1">
      <alignment/>
      <protection/>
    </xf>
    <xf numFmtId="0" fontId="103" fillId="0" borderId="10" xfId="55" applyFont="1" applyBorder="1" applyAlignment="1">
      <alignment/>
      <protection/>
    </xf>
    <xf numFmtId="0" fontId="2" fillId="33" borderId="12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2" fontId="2" fillId="0" borderId="10" xfId="0" applyNumberFormat="1" applyFont="1" applyBorder="1" applyAlignment="1">
      <alignment vertical="center"/>
    </xf>
    <xf numFmtId="0" fontId="42" fillId="0" borderId="10" xfId="55" applyFont="1" applyBorder="1" applyAlignment="1">
      <alignment vertical="center" wrapText="1"/>
      <protection/>
    </xf>
    <xf numFmtId="0" fontId="2" fillId="0" borderId="10" xfId="0" applyFont="1" applyBorder="1" applyAlignment="1" quotePrefix="1">
      <alignment horizontal="right" vertical="top" wrapText="1"/>
    </xf>
    <xf numFmtId="0" fontId="2" fillId="33" borderId="10" xfId="0" applyFont="1" applyFill="1" applyBorder="1" applyAlignment="1">
      <alignment horizontal="right"/>
    </xf>
    <xf numFmtId="0" fontId="100" fillId="0" borderId="0" xfId="55" applyFont="1" applyFill="1">
      <alignment/>
      <protection/>
    </xf>
    <xf numFmtId="0" fontId="100" fillId="0" borderId="17" xfId="55" applyFont="1" applyFill="1" applyBorder="1">
      <alignment/>
      <protection/>
    </xf>
    <xf numFmtId="1" fontId="100" fillId="0" borderId="17" xfId="55" applyNumberFormat="1" applyFont="1" applyFill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0" fillId="33" borderId="12" xfId="0" applyNumberFormat="1" applyFont="1" applyFill="1" applyBorder="1" applyAlignment="1">
      <alignment horizontal="right" vertical="top" wrapText="1"/>
    </xf>
    <xf numFmtId="0" fontId="3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6" fillId="0" borderId="10" xfId="0" applyFont="1" applyBorder="1" applyAlignment="1" quotePrefix="1">
      <alignment horizontal="center" vertical="top" wrapText="1"/>
    </xf>
    <xf numFmtId="0" fontId="16" fillId="0" borderId="12" xfId="0" applyFont="1" applyBorder="1" applyAlignment="1" quotePrefix="1">
      <alignment horizontal="center" vertical="top" wrapText="1"/>
    </xf>
    <xf numFmtId="0" fontId="16" fillId="0" borderId="20" xfId="0" applyFont="1" applyBorder="1" applyAlignment="1" quotePrefix="1">
      <alignment horizontal="center" vertical="top" wrapText="1"/>
    </xf>
    <xf numFmtId="0" fontId="16" fillId="0" borderId="13" xfId="0" applyFont="1" applyBorder="1" applyAlignment="1" quotePrefix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52" fillId="0" borderId="12" xfId="0" applyNumberFormat="1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23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14" fillId="0" borderId="10" xfId="59" applyFont="1" applyBorder="1" applyAlignment="1">
      <alignment horizontal="center" vertical="top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17" xfId="59" applyFont="1" applyBorder="1" applyAlignment="1">
      <alignment horizontal="center" vertical="center" wrapText="1"/>
      <protection/>
    </xf>
    <xf numFmtId="0" fontId="14" fillId="0" borderId="18" xfId="59" applyFont="1" applyBorder="1" applyAlignment="1">
      <alignment horizontal="center" vertical="center" wrapText="1"/>
      <protection/>
    </xf>
    <xf numFmtId="0" fontId="14" fillId="0" borderId="21" xfId="59" applyFont="1" applyBorder="1" applyAlignment="1">
      <alignment horizontal="center" vertical="center" wrapText="1"/>
      <protection/>
    </xf>
    <xf numFmtId="0" fontId="14" fillId="0" borderId="22" xfId="59" applyFont="1" applyBorder="1" applyAlignment="1">
      <alignment horizontal="center" vertical="center" wrapText="1"/>
      <protection/>
    </xf>
    <xf numFmtId="0" fontId="14" fillId="0" borderId="23" xfId="59" applyFont="1" applyBorder="1" applyAlignment="1">
      <alignment horizontal="center" vertical="center" wrapText="1"/>
      <protection/>
    </xf>
    <xf numFmtId="0" fontId="14" fillId="0" borderId="16" xfId="59" applyFont="1" applyBorder="1" applyAlignment="1">
      <alignment horizontal="center" vertical="center" wrapText="1"/>
      <protection/>
    </xf>
    <xf numFmtId="0" fontId="14" fillId="0" borderId="15" xfId="59" applyFont="1" applyBorder="1" applyAlignment="1">
      <alignment horizontal="center" vertical="center" wrapText="1"/>
      <protection/>
    </xf>
    <xf numFmtId="0" fontId="14" fillId="0" borderId="24" xfId="59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12" xfId="59" applyFont="1" applyBorder="1" applyAlignment="1">
      <alignment horizontal="center" vertical="top" wrapText="1"/>
      <protection/>
    </xf>
    <xf numFmtId="0" fontId="6" fillId="0" borderId="13" xfId="59" applyFont="1" applyBorder="1" applyAlignment="1">
      <alignment horizontal="center" vertical="top" wrapText="1"/>
      <protection/>
    </xf>
    <xf numFmtId="0" fontId="11" fillId="0" borderId="12" xfId="59" applyFont="1" applyBorder="1" applyAlignment="1">
      <alignment horizontal="center" vertical="top" wrapText="1"/>
      <protection/>
    </xf>
    <xf numFmtId="0" fontId="11" fillId="0" borderId="13" xfId="59" applyFont="1" applyBorder="1" applyAlignment="1">
      <alignment horizontal="center" vertical="top" wrapText="1"/>
      <protection/>
    </xf>
    <xf numFmtId="0" fontId="12" fillId="0" borderId="0" xfId="59" applyFont="1" applyAlignment="1">
      <alignment horizontal="left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7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14" fillId="0" borderId="21" xfId="59" applyFont="1" applyBorder="1" applyAlignment="1">
      <alignment horizontal="center" vertical="top" wrapText="1"/>
      <protection/>
    </xf>
    <xf numFmtId="0" fontId="14" fillId="0" borderId="22" xfId="59" applyFont="1" applyBorder="1" applyAlignment="1">
      <alignment horizontal="center" vertical="top" wrapText="1"/>
      <protection/>
    </xf>
    <xf numFmtId="0" fontId="14" fillId="0" borderId="23" xfId="59" applyFont="1" applyBorder="1" applyAlignment="1">
      <alignment horizontal="center" vertical="top" wrapText="1"/>
      <protection/>
    </xf>
    <xf numFmtId="0" fontId="14" fillId="0" borderId="16" xfId="59" applyFont="1" applyBorder="1" applyAlignment="1">
      <alignment horizontal="center" vertical="top" wrapText="1"/>
      <protection/>
    </xf>
    <xf numFmtId="0" fontId="14" fillId="0" borderId="15" xfId="59" applyFont="1" applyBorder="1" applyAlignment="1">
      <alignment horizontal="center" vertical="top" wrapText="1"/>
      <protection/>
    </xf>
    <xf numFmtId="0" fontId="14" fillId="0" borderId="24" xfId="59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/>
      <protection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0" xfId="55" applyFont="1" applyBorder="1" applyAlignment="1">
      <alignment horizontal="center" vertical="top" wrapText="1"/>
      <protection/>
    </xf>
    <xf numFmtId="0" fontId="2" fillId="33" borderId="14" xfId="55" applyFont="1" applyFill="1" applyBorder="1" applyAlignment="1">
      <alignment horizontal="center" vertical="top" wrapText="1"/>
      <protection/>
    </xf>
    <xf numFmtId="0" fontId="2" fillId="33" borderId="17" xfId="55" applyFont="1" applyFill="1" applyBorder="1" applyAlignment="1">
      <alignment horizontal="center" vertical="top" wrapText="1"/>
      <protection/>
    </xf>
    <xf numFmtId="0" fontId="2" fillId="33" borderId="18" xfId="55" applyFont="1" applyFill="1" applyBorder="1" applyAlignment="1">
      <alignment horizontal="center" vertical="top" wrapText="1"/>
      <protection/>
    </xf>
    <xf numFmtId="0" fontId="7" fillId="0" borderId="0" xfId="55" applyFont="1" applyBorder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14" xfId="55" applyFont="1" applyBorder="1" applyAlignment="1">
      <alignment horizontal="center" vertical="top" wrapText="1"/>
      <protection/>
    </xf>
    <xf numFmtId="0" fontId="2" fillId="0" borderId="17" xfId="55" applyFont="1" applyBorder="1" applyAlignment="1">
      <alignment horizontal="center" vertical="top" wrapText="1"/>
      <protection/>
    </xf>
    <xf numFmtId="0" fontId="2" fillId="0" borderId="18" xfId="55" applyFont="1" applyBorder="1" applyAlignment="1">
      <alignment horizontal="center" vertical="top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9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/>
    </xf>
    <xf numFmtId="0" fontId="96" fillId="0" borderId="14" xfId="0" applyFont="1" applyBorder="1" applyAlignment="1">
      <alignment horizontal="center" vertical="top" wrapText="1"/>
    </xf>
    <xf numFmtId="0" fontId="96" fillId="0" borderId="17" xfId="0" applyFont="1" applyBorder="1" applyAlignment="1">
      <alignment horizontal="center" vertical="top" wrapText="1"/>
    </xf>
    <xf numFmtId="0" fontId="96" fillId="0" borderId="18" xfId="0" applyFont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top"/>
    </xf>
    <xf numFmtId="0" fontId="96" fillId="0" borderId="10" xfId="0" applyFont="1" applyBorder="1" applyAlignment="1">
      <alignment horizontal="center" vertical="center" wrapText="1"/>
    </xf>
    <xf numFmtId="0" fontId="5" fillId="0" borderId="0" xfId="55" applyFont="1" applyAlignment="1">
      <alignment/>
      <protection/>
    </xf>
    <xf numFmtId="0" fontId="50" fillId="33" borderId="14" xfId="55" applyFont="1" applyFill="1" applyBorder="1" applyAlignment="1" quotePrefix="1">
      <alignment horizontal="center" vertical="center" wrapText="1"/>
      <protection/>
    </xf>
    <xf numFmtId="0" fontId="50" fillId="33" borderId="18" xfId="55" applyFont="1" applyFill="1" applyBorder="1" applyAlignment="1" quotePrefix="1">
      <alignment horizontal="center" vertical="center" wrapText="1"/>
      <protection/>
    </xf>
    <xf numFmtId="0" fontId="50" fillId="33" borderId="12" xfId="55" applyFont="1" applyFill="1" applyBorder="1" applyAlignment="1" quotePrefix="1">
      <alignment horizontal="center" vertical="center" wrapText="1"/>
      <protection/>
    </xf>
    <xf numFmtId="0" fontId="50" fillId="33" borderId="20" xfId="55" applyFont="1" applyFill="1" applyBorder="1" applyAlignment="1" quotePrefix="1">
      <alignment horizontal="center" vertical="center" wrapText="1"/>
      <protection/>
    </xf>
    <xf numFmtId="0" fontId="50" fillId="33" borderId="13" xfId="55" applyFont="1" applyFill="1" applyBorder="1" applyAlignment="1" quotePrefix="1">
      <alignment horizontal="center" vertical="center" wrapText="1"/>
      <protection/>
    </xf>
    <xf numFmtId="0" fontId="50" fillId="0" borderId="12" xfId="55" applyFont="1" applyBorder="1" applyAlignment="1">
      <alignment horizontal="left" vertical="center"/>
      <protection/>
    </xf>
    <xf numFmtId="0" fontId="50" fillId="0" borderId="20" xfId="55" applyFont="1" applyBorder="1" applyAlignment="1">
      <alignment horizontal="left" vertical="center"/>
      <protection/>
    </xf>
    <xf numFmtId="0" fontId="50" fillId="0" borderId="13" xfId="55" applyFont="1" applyBorder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96" fillId="33" borderId="12" xfId="0" applyFont="1" applyFill="1" applyBorder="1" applyAlignment="1">
      <alignment horizontal="center" vertical="top" wrapText="1"/>
    </xf>
    <xf numFmtId="0" fontId="96" fillId="33" borderId="20" xfId="0" applyFont="1" applyFill="1" applyBorder="1" applyAlignment="1">
      <alignment horizontal="center" vertical="top" wrapText="1"/>
    </xf>
    <xf numFmtId="0" fontId="96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20" xfId="57" applyFont="1" applyBorder="1" applyAlignment="1">
      <alignment horizontal="center" vertical="top"/>
      <protection/>
    </xf>
    <xf numFmtId="0" fontId="2" fillId="0" borderId="10" xfId="57" applyFont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2" fillId="0" borderId="14" xfId="57" applyFont="1" applyBorder="1" applyAlignment="1">
      <alignment horizontal="center" vertical="top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6" fillId="0" borderId="12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6" xfId="57" applyFont="1" applyBorder="1" applyAlignment="1">
      <alignment horizontal="center" vertical="top"/>
      <protection/>
    </xf>
    <xf numFmtId="0" fontId="4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20" xfId="57" applyFont="1" applyBorder="1" applyAlignment="1">
      <alignment horizontal="center" vertical="top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/>
    </xf>
    <xf numFmtId="0" fontId="2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33" borderId="14" xfId="55" applyFont="1" applyFill="1" applyBorder="1" applyAlignment="1" quotePrefix="1">
      <alignment horizontal="center" vertical="center" wrapText="1"/>
      <protection/>
    </xf>
    <xf numFmtId="0" fontId="2" fillId="33" borderId="18" xfId="55" applyFont="1" applyFill="1" applyBorder="1" applyAlignment="1" quotePrefix="1">
      <alignment horizontal="center" vertical="center" wrapText="1"/>
      <protection/>
    </xf>
    <xf numFmtId="0" fontId="2" fillId="33" borderId="10" xfId="55" applyFont="1" applyFill="1" applyBorder="1" applyAlignment="1" quotePrefix="1">
      <alignment horizontal="center" vertical="center" wrapText="1"/>
      <protection/>
    </xf>
    <xf numFmtId="0" fontId="16" fillId="0" borderId="0" xfId="55" applyFont="1" applyAlignment="1">
      <alignment horizontal="right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/>
      <protection/>
    </xf>
    <xf numFmtId="0" fontId="16" fillId="0" borderId="0" xfId="0" applyFont="1" applyBorder="1" applyAlignment="1">
      <alignment horizontal="right"/>
    </xf>
    <xf numFmtId="0" fontId="94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104" fillId="0" borderId="19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4" fillId="0" borderId="10" xfId="57" applyFont="1" applyBorder="1" applyAlignment="1">
      <alignment horizontal="center" vertical="top" wrapText="1"/>
      <protection/>
    </xf>
    <xf numFmtId="0" fontId="14" fillId="0" borderId="14" xfId="57" applyFont="1" applyBorder="1" applyAlignment="1">
      <alignment horizontal="center" vertical="top" wrapText="1"/>
      <protection/>
    </xf>
    <xf numFmtId="0" fontId="14" fillId="0" borderId="17" xfId="57" applyFont="1" applyBorder="1" applyAlignment="1">
      <alignment horizontal="center" vertical="top" wrapText="1"/>
      <protection/>
    </xf>
    <xf numFmtId="0" fontId="14" fillId="0" borderId="18" xfId="57" applyFont="1" applyBorder="1" applyAlignment="1">
      <alignment horizontal="center" vertical="top" wrapText="1"/>
      <protection/>
    </xf>
    <xf numFmtId="0" fontId="14" fillId="0" borderId="0" xfId="57" applyFont="1" applyAlignment="1">
      <alignment horizontal="center"/>
      <protection/>
    </xf>
    <xf numFmtId="0" fontId="3" fillId="0" borderId="0" xfId="57" applyFont="1" applyAlignment="1">
      <alignment horizontal="right"/>
      <protection/>
    </xf>
    <xf numFmtId="0" fontId="2" fillId="0" borderId="0" xfId="58" applyFont="1" applyAlignment="1">
      <alignment horizontal="left"/>
      <protection/>
    </xf>
    <xf numFmtId="0" fontId="11" fillId="0" borderId="0" xfId="57" applyFont="1" applyAlignment="1">
      <alignment horizontal="center" vertical="top" wrapText="1"/>
      <protection/>
    </xf>
    <xf numFmtId="0" fontId="10" fillId="0" borderId="0" xfId="57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14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top"/>
      <protection/>
    </xf>
    <xf numFmtId="0" fontId="48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26" fillId="0" borderId="0" xfId="55" applyFont="1" applyAlignment="1">
      <alignment horizontal="center"/>
      <protection/>
    </xf>
    <xf numFmtId="0" fontId="20" fillId="0" borderId="14" xfId="55" applyFont="1" applyBorder="1" applyAlignment="1">
      <alignment horizontal="center" vertical="top" wrapText="1"/>
      <protection/>
    </xf>
    <xf numFmtId="0" fontId="20" fillId="0" borderId="18" xfId="55" applyFont="1" applyBorder="1" applyAlignment="1">
      <alignment horizontal="center" vertical="top" wrapText="1"/>
      <protection/>
    </xf>
    <xf numFmtId="0" fontId="42" fillId="0" borderId="14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8" xfId="55" applyFont="1" applyBorder="1" applyAlignment="1">
      <alignment horizontal="center" vertical="center" wrapText="1"/>
      <protection/>
    </xf>
    <xf numFmtId="0" fontId="103" fillId="0" borderId="14" xfId="55" applyFont="1" applyBorder="1" applyAlignment="1">
      <alignment horizontal="center" vertical="center"/>
      <protection/>
    </xf>
    <xf numFmtId="0" fontId="103" fillId="0" borderId="17" xfId="55" applyFont="1" applyBorder="1" applyAlignment="1">
      <alignment horizontal="center" vertical="center"/>
      <protection/>
    </xf>
    <xf numFmtId="0" fontId="103" fillId="0" borderId="18" xfId="55" applyFont="1" applyBorder="1" applyAlignment="1">
      <alignment horizontal="center" vertical="center"/>
      <protection/>
    </xf>
    <xf numFmtId="0" fontId="20" fillId="0" borderId="12" xfId="55" applyFont="1" applyBorder="1" applyAlignment="1">
      <alignment horizontal="center" vertical="top" wrapText="1"/>
      <protection/>
    </xf>
    <xf numFmtId="0" fontId="20" fillId="0" borderId="20" xfId="55" applyFont="1" applyBorder="1" applyAlignment="1">
      <alignment horizontal="center" vertical="top" wrapText="1"/>
      <protection/>
    </xf>
    <xf numFmtId="0" fontId="20" fillId="0" borderId="23" xfId="55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 vertical="top" wrapText="1"/>
      <protection/>
    </xf>
    <xf numFmtId="0" fontId="20" fillId="0" borderId="13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56" fillId="0" borderId="21" xfId="55" applyFont="1" applyBorder="1" applyAlignment="1">
      <alignment horizontal="center" vertical="center" wrapText="1"/>
      <protection/>
    </xf>
    <xf numFmtId="0" fontId="56" fillId="0" borderId="22" xfId="55" applyFont="1" applyBorder="1" applyAlignment="1">
      <alignment horizontal="center" vertical="center" wrapText="1"/>
      <protection/>
    </xf>
    <xf numFmtId="0" fontId="56" fillId="0" borderId="23" xfId="55" applyFont="1" applyBorder="1" applyAlignment="1">
      <alignment horizontal="center" vertical="center" wrapText="1"/>
      <protection/>
    </xf>
    <xf numFmtId="0" fontId="56" fillId="0" borderId="19" xfId="55" applyFont="1" applyBorder="1" applyAlignment="1">
      <alignment horizontal="center" vertical="center" wrapText="1"/>
      <protection/>
    </xf>
    <xf numFmtId="0" fontId="56" fillId="0" borderId="0" xfId="55" applyFont="1" applyBorder="1" applyAlignment="1">
      <alignment horizontal="center" vertical="center" wrapText="1"/>
      <protection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16" xfId="55" applyFont="1" applyBorder="1" applyAlignment="1">
      <alignment horizontal="center" vertical="center" wrapText="1"/>
      <protection/>
    </xf>
    <xf numFmtId="0" fontId="56" fillId="0" borderId="1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96" fillId="0" borderId="0" xfId="55" applyFont="1" applyAlignment="1">
      <alignment horizontal="center"/>
      <protection/>
    </xf>
    <xf numFmtId="0" fontId="41" fillId="0" borderId="0" xfId="55" applyFont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0" fontId="19" fillId="0" borderId="10" xfId="55" applyFont="1" applyBorder="1" applyAlignment="1">
      <alignment horizontal="center" vertical="top" wrapText="1"/>
      <protection/>
    </xf>
    <xf numFmtId="0" fontId="19" fillId="0" borderId="14" xfId="55" applyFont="1" applyBorder="1" applyAlignment="1">
      <alignment horizontal="center" vertical="top" wrapText="1"/>
      <protection/>
    </xf>
    <xf numFmtId="0" fontId="19" fillId="0" borderId="18" xfId="55" applyFont="1" applyBorder="1" applyAlignment="1">
      <alignment horizontal="center" vertical="top" wrapText="1"/>
      <protection/>
    </xf>
    <xf numFmtId="0" fontId="18" fillId="0" borderId="12" xfId="55" applyFont="1" applyBorder="1" applyAlignment="1">
      <alignment horizontal="center" vertical="top" wrapText="1"/>
      <protection/>
    </xf>
    <xf numFmtId="0" fontId="18" fillId="0" borderId="20" xfId="55" applyFont="1" applyBorder="1" applyAlignment="1">
      <alignment horizontal="center" vertical="top" wrapText="1"/>
      <protection/>
    </xf>
    <xf numFmtId="0" fontId="18" fillId="0" borderId="13" xfId="55" applyFont="1" applyBorder="1" applyAlignment="1">
      <alignment horizontal="center" vertical="top" wrapText="1"/>
      <protection/>
    </xf>
    <xf numFmtId="0" fontId="18" fillId="0" borderId="14" xfId="55" applyFont="1" applyBorder="1" applyAlignment="1">
      <alignment horizontal="center" vertical="top" wrapText="1"/>
      <protection/>
    </xf>
    <xf numFmtId="0" fontId="18" fillId="0" borderId="18" xfId="55" applyFont="1" applyBorder="1" applyAlignment="1">
      <alignment horizontal="center" vertical="top" wrapText="1"/>
      <protection/>
    </xf>
    <xf numFmtId="0" fontId="105" fillId="0" borderId="21" xfId="55" applyFont="1" applyBorder="1" applyAlignment="1">
      <alignment horizontal="center" vertical="center"/>
      <protection/>
    </xf>
    <xf numFmtId="0" fontId="105" fillId="0" borderId="22" xfId="55" applyFont="1" applyBorder="1" applyAlignment="1">
      <alignment horizontal="center" vertical="center"/>
      <protection/>
    </xf>
    <xf numFmtId="0" fontId="105" fillId="0" borderId="23" xfId="55" applyFont="1" applyBorder="1" applyAlignment="1">
      <alignment horizontal="center" vertical="center"/>
      <protection/>
    </xf>
    <xf numFmtId="0" fontId="105" fillId="0" borderId="19" xfId="55" applyFont="1" applyBorder="1" applyAlignment="1">
      <alignment horizontal="center" vertical="center"/>
      <protection/>
    </xf>
    <xf numFmtId="0" fontId="105" fillId="0" borderId="0" xfId="55" applyFont="1" applyBorder="1" applyAlignment="1">
      <alignment horizontal="center" vertical="center"/>
      <protection/>
    </xf>
    <xf numFmtId="0" fontId="105" fillId="0" borderId="25" xfId="55" applyFont="1" applyBorder="1" applyAlignment="1">
      <alignment horizontal="center" vertical="center"/>
      <protection/>
    </xf>
    <xf numFmtId="0" fontId="105" fillId="0" borderId="16" xfId="55" applyFont="1" applyBorder="1" applyAlignment="1">
      <alignment horizontal="center" vertical="center"/>
      <protection/>
    </xf>
    <xf numFmtId="0" fontId="105" fillId="0" borderId="15" xfId="55" applyFont="1" applyBorder="1" applyAlignment="1">
      <alignment horizontal="center" vertical="center"/>
      <protection/>
    </xf>
    <xf numFmtId="0" fontId="105" fillId="0" borderId="24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2" xfId="55" applyFont="1" applyBorder="1" applyAlignment="1">
      <alignment horizontal="center" wrapText="1"/>
      <protection/>
    </xf>
    <xf numFmtId="0" fontId="18" fillId="0" borderId="20" xfId="55" applyFont="1" applyBorder="1" applyAlignment="1">
      <alignment horizontal="center" wrapText="1"/>
      <protection/>
    </xf>
    <xf numFmtId="0" fontId="18" fillId="0" borderId="13" xfId="55" applyFont="1" applyBorder="1" applyAlignment="1">
      <alignment horizont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18" fillId="0" borderId="14" xfId="55" applyFont="1" applyBorder="1" applyAlignment="1">
      <alignment horizontal="center" vertical="top"/>
      <protection/>
    </xf>
    <xf numFmtId="0" fontId="18" fillId="0" borderId="17" xfId="55" applyFont="1" applyBorder="1" applyAlignment="1">
      <alignment horizontal="center" vertical="top"/>
      <protection/>
    </xf>
    <xf numFmtId="0" fontId="18" fillId="0" borderId="18" xfId="55" applyFont="1" applyBorder="1" applyAlignment="1">
      <alignment horizontal="center" vertical="top"/>
      <protection/>
    </xf>
    <xf numFmtId="0" fontId="20" fillId="0" borderId="17" xfId="55" applyFont="1" applyBorder="1" applyAlignment="1">
      <alignment horizontal="center" vertical="top" wrapText="1"/>
      <protection/>
    </xf>
    <xf numFmtId="0" fontId="20" fillId="0" borderId="21" xfId="55" applyFont="1" applyBorder="1" applyAlignment="1">
      <alignment horizontal="center" vertical="top" wrapText="1"/>
      <protection/>
    </xf>
    <xf numFmtId="0" fontId="20" fillId="0" borderId="19" xfId="55" applyFont="1" applyBorder="1" applyAlignment="1">
      <alignment horizontal="center" vertical="top" wrapText="1"/>
      <protection/>
    </xf>
    <xf numFmtId="0" fontId="20" fillId="0" borderId="25" xfId="55" applyFont="1" applyBorder="1" applyAlignment="1">
      <alignment horizontal="center" vertical="top" wrapText="1"/>
      <protection/>
    </xf>
    <xf numFmtId="0" fontId="21" fillId="0" borderId="0" xfId="55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16" fillId="0" borderId="12" xfId="58" applyFont="1" applyBorder="1" applyAlignment="1">
      <alignment horizontal="center" vertical="top" wrapText="1"/>
      <protection/>
    </xf>
    <xf numFmtId="0" fontId="16" fillId="0" borderId="20" xfId="58" applyFont="1" applyBorder="1" applyAlignment="1">
      <alignment horizontal="center" vertical="top" wrapText="1"/>
      <protection/>
    </xf>
    <xf numFmtId="0" fontId="16" fillId="0" borderId="13" xfId="58" applyFont="1" applyBorder="1" applyAlignment="1">
      <alignment horizontal="center" vertical="top" wrapText="1"/>
      <protection/>
    </xf>
    <xf numFmtId="0" fontId="16" fillId="0" borderId="12" xfId="58" applyFont="1" applyBorder="1" applyAlignment="1">
      <alignment horizontal="center" vertical="top"/>
      <protection/>
    </xf>
    <xf numFmtId="0" fontId="16" fillId="0" borderId="20" xfId="58" applyFont="1" applyBorder="1" applyAlignment="1">
      <alignment horizontal="center" vertical="top"/>
      <protection/>
    </xf>
    <xf numFmtId="0" fontId="16" fillId="0" borderId="13" xfId="58" applyFont="1" applyBorder="1" applyAlignment="1">
      <alignment horizontal="center" vertical="top"/>
      <protection/>
    </xf>
    <xf numFmtId="0" fontId="16" fillId="0" borderId="21" xfId="58" applyFont="1" applyBorder="1" applyAlignment="1">
      <alignment horizontal="center" vertical="top" wrapText="1"/>
      <protection/>
    </xf>
    <xf numFmtId="0" fontId="16" fillId="0" borderId="22" xfId="58" applyFont="1" applyBorder="1" applyAlignment="1">
      <alignment horizontal="center" vertical="top" wrapText="1"/>
      <protection/>
    </xf>
    <xf numFmtId="0" fontId="16" fillId="0" borderId="23" xfId="58" applyFont="1" applyBorder="1" applyAlignment="1">
      <alignment horizontal="center" vertical="top" wrapText="1"/>
      <protection/>
    </xf>
    <xf numFmtId="0" fontId="16" fillId="0" borderId="16" xfId="58" applyFont="1" applyBorder="1" applyAlignment="1">
      <alignment horizontal="center" vertical="top" wrapText="1"/>
      <protection/>
    </xf>
    <xf numFmtId="0" fontId="16" fillId="0" borderId="15" xfId="58" applyFont="1" applyBorder="1" applyAlignment="1">
      <alignment horizontal="center" vertical="top" wrapText="1"/>
      <protection/>
    </xf>
    <xf numFmtId="0" fontId="16" fillId="0" borderId="24" xfId="58" applyFont="1" applyBorder="1" applyAlignment="1">
      <alignment horizontal="center" vertical="top" wrapText="1"/>
      <protection/>
    </xf>
    <xf numFmtId="0" fontId="1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6" fillId="0" borderId="14" xfId="58" applyFont="1" applyBorder="1" applyAlignment="1">
      <alignment horizontal="center" vertical="top" wrapText="1"/>
      <protection/>
    </xf>
    <xf numFmtId="0" fontId="16" fillId="0" borderId="18" xfId="58" applyFont="1" applyBorder="1" applyAlignment="1">
      <alignment horizontal="center" vertical="top" wrapText="1"/>
      <protection/>
    </xf>
    <xf numFmtId="0" fontId="7" fillId="0" borderId="12" xfId="58" applyFont="1" applyBorder="1" applyAlignment="1">
      <alignment horizontal="center" vertical="top" wrapText="1"/>
      <protection/>
    </xf>
    <xf numFmtId="0" fontId="7" fillId="0" borderId="13" xfId="58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16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center" wrapText="1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" fillId="0" borderId="10" xfId="57" applyFont="1" applyBorder="1" applyAlignment="1">
      <alignment horizontal="center"/>
      <protection/>
    </xf>
    <xf numFmtId="0" fontId="37" fillId="0" borderId="21" xfId="57" applyFont="1" applyBorder="1" applyAlignment="1">
      <alignment horizontal="center" vertical="center"/>
      <protection/>
    </xf>
    <xf numFmtId="0" fontId="37" fillId="0" borderId="22" xfId="57" applyFont="1" applyBorder="1" applyAlignment="1">
      <alignment horizontal="center" vertical="center"/>
      <protection/>
    </xf>
    <xf numFmtId="0" fontId="37" fillId="0" borderId="23" xfId="57" applyFont="1" applyBorder="1" applyAlignment="1">
      <alignment horizontal="center" vertical="center"/>
      <protection/>
    </xf>
    <xf numFmtId="0" fontId="37" fillId="0" borderId="19" xfId="57" applyFont="1" applyBorder="1" applyAlignment="1">
      <alignment horizontal="center" vertical="center"/>
      <protection/>
    </xf>
    <xf numFmtId="0" fontId="37" fillId="0" borderId="0" xfId="57" applyFont="1" applyBorder="1" applyAlignment="1">
      <alignment horizontal="center" vertical="center"/>
      <protection/>
    </xf>
    <xf numFmtId="0" fontId="37" fillId="0" borderId="25" xfId="57" applyFont="1" applyBorder="1" applyAlignment="1">
      <alignment horizontal="center" vertical="center"/>
      <protection/>
    </xf>
    <xf numFmtId="0" fontId="37" fillId="0" borderId="16" xfId="57" applyFont="1" applyBorder="1" applyAlignment="1">
      <alignment horizontal="center" vertical="center"/>
      <protection/>
    </xf>
    <xf numFmtId="0" fontId="37" fillId="0" borderId="15" xfId="57" applyFont="1" applyBorder="1" applyAlignment="1">
      <alignment horizontal="center" vertical="center"/>
      <protection/>
    </xf>
    <xf numFmtId="0" fontId="37" fillId="0" borderId="24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3</xdr:row>
      <xdr:rowOff>0</xdr:rowOff>
    </xdr:from>
    <xdr:ext cx="9267825" cy="4552950"/>
    <xdr:sp>
      <xdr:nvSpPr>
        <xdr:cNvPr id="1" name="Rectangle 1"/>
        <xdr:cNvSpPr>
          <a:spLocks/>
        </xdr:cNvSpPr>
      </xdr:nvSpPr>
      <xdr:spPr>
        <a:xfrm>
          <a:off x="85725" y="485775"/>
          <a:ext cx="926782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: TELANGANA
</a:t>
          </a:r>
          <a:r>
            <a:rPr lang="en-US" cap="none" sz="4400" b="1" i="0" u="none" baseline="0"/>
            <a:t>Date of Submission : 21-05-2019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5" max="15" width="12.421875" style="0" customWidth="1"/>
  </cols>
  <sheetData/>
  <sheetProtection/>
  <printOptions horizontalCentered="1"/>
  <pageMargins left="0.34" right="0.21" top="0.47" bottom="0" header="0.55" footer="0.22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0"/>
  <sheetViews>
    <sheetView view="pageBreakPreview" zoomScale="55" zoomScaleNormal="85" zoomScaleSheetLayoutView="55" zoomScalePageLayoutView="0" workbookViewId="0" topLeftCell="A1">
      <selection activeCell="O31" sqref="O31"/>
    </sheetView>
  </sheetViews>
  <sheetFormatPr defaultColWidth="9.140625" defaultRowHeight="12.75"/>
  <cols>
    <col min="1" max="1" width="7.140625" style="6" customWidth="1"/>
    <col min="2" max="2" width="16.8515625" style="6" customWidth="1"/>
    <col min="3" max="3" width="10.28125" style="6" customWidth="1"/>
    <col min="4" max="4" width="9.28125" style="6" customWidth="1"/>
    <col min="5" max="6" width="9.28125" style="6" bestFit="1" customWidth="1"/>
    <col min="7" max="7" width="11.7109375" style="6" customWidth="1"/>
    <col min="8" max="8" width="11.00390625" style="6" customWidth="1"/>
    <col min="9" max="9" width="9.7109375" style="6" customWidth="1"/>
    <col min="10" max="10" width="9.57421875" style="6" customWidth="1"/>
    <col min="11" max="11" width="11.7109375" style="6" customWidth="1"/>
    <col min="12" max="12" width="10.7109375" style="6" customWidth="1"/>
    <col min="13" max="13" width="10.57421875" style="6" customWidth="1"/>
    <col min="14" max="14" width="9.8515625" style="6" bestFit="1" customWidth="1"/>
    <col min="15" max="15" width="8.8515625" style="6" customWidth="1"/>
    <col min="16" max="16" width="9.28125" style="6" bestFit="1" customWidth="1"/>
    <col min="17" max="17" width="11.00390625" style="6" customWidth="1"/>
    <col min="18" max="16384" width="9.140625" style="6" customWidth="1"/>
  </cols>
  <sheetData>
    <row r="1" spans="15:17" ht="12.75" customHeight="1">
      <c r="O1" s="558" t="s">
        <v>56</v>
      </c>
      <c r="P1" s="558"/>
      <c r="Q1" s="558"/>
    </row>
    <row r="2" spans="1:17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</row>
    <row r="3" spans="1:17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ht="11.25" customHeight="1"/>
    <row r="5" spans="1:17" ht="15.75" customHeight="1">
      <c r="A5" s="652" t="s">
        <v>705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</row>
    <row r="7" spans="1:17" s="5" customFormat="1" ht="12.75">
      <c r="A7" s="21" t="s">
        <v>665</v>
      </c>
      <c r="B7" s="21"/>
      <c r="O7" s="651" t="s">
        <v>750</v>
      </c>
      <c r="P7" s="651"/>
      <c r="Q7" s="651"/>
    </row>
    <row r="8" spans="1:17" ht="24" customHeight="1">
      <c r="A8" s="530" t="s">
        <v>2</v>
      </c>
      <c r="B8" s="530" t="s">
        <v>3</v>
      </c>
      <c r="C8" s="561" t="s">
        <v>760</v>
      </c>
      <c r="D8" s="561"/>
      <c r="E8" s="561"/>
      <c r="F8" s="561"/>
      <c r="G8" s="561"/>
      <c r="H8" s="647" t="s">
        <v>552</v>
      </c>
      <c r="I8" s="561"/>
      <c r="J8" s="561"/>
      <c r="K8" s="561"/>
      <c r="L8" s="561"/>
      <c r="M8" s="648" t="s">
        <v>105</v>
      </c>
      <c r="N8" s="649"/>
      <c r="O8" s="649"/>
      <c r="P8" s="649"/>
      <c r="Q8" s="650"/>
    </row>
    <row r="9" spans="1:17" s="5" customFormat="1" ht="60" customHeight="1">
      <c r="A9" s="530"/>
      <c r="B9" s="530"/>
      <c r="C9" s="1" t="s">
        <v>210</v>
      </c>
      <c r="D9" s="1" t="s">
        <v>211</v>
      </c>
      <c r="E9" s="1" t="s">
        <v>348</v>
      </c>
      <c r="F9" s="1" t="s">
        <v>217</v>
      </c>
      <c r="G9" s="1" t="s">
        <v>113</v>
      </c>
      <c r="H9" s="152" t="s">
        <v>210</v>
      </c>
      <c r="I9" s="1" t="s">
        <v>211</v>
      </c>
      <c r="J9" s="1" t="s">
        <v>348</v>
      </c>
      <c r="K9" s="151" t="s">
        <v>217</v>
      </c>
      <c r="L9" s="1" t="s">
        <v>351</v>
      </c>
      <c r="M9" s="1" t="s">
        <v>210</v>
      </c>
      <c r="N9" s="1" t="s">
        <v>211</v>
      </c>
      <c r="O9" s="1" t="s">
        <v>348</v>
      </c>
      <c r="P9" s="151" t="s">
        <v>217</v>
      </c>
      <c r="Q9" s="1" t="s">
        <v>115</v>
      </c>
    </row>
    <row r="10" spans="1:17" s="30" customFormat="1" ht="12.7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</row>
    <row r="11" spans="1:19" ht="12.75">
      <c r="A11" s="201">
        <v>1</v>
      </c>
      <c r="B11" s="201" t="s">
        <v>633</v>
      </c>
      <c r="C11" s="8">
        <v>39959</v>
      </c>
      <c r="D11" s="8">
        <v>285</v>
      </c>
      <c r="E11" s="8">
        <v>0</v>
      </c>
      <c r="F11" s="8">
        <v>716</v>
      </c>
      <c r="G11" s="8">
        <f>SUM(C11:F11)</f>
        <v>40960</v>
      </c>
      <c r="H11" s="345">
        <v>35965</v>
      </c>
      <c r="I11" s="410">
        <v>262</v>
      </c>
      <c r="J11" s="8">
        <v>0</v>
      </c>
      <c r="K11" s="8">
        <v>687</v>
      </c>
      <c r="L11" s="410">
        <f>SUM(H11:K11)</f>
        <v>36914</v>
      </c>
      <c r="M11" s="8">
        <f>H11*225</f>
        <v>8092125</v>
      </c>
      <c r="N11" s="8">
        <f aca="true" t="shared" si="0" ref="N11:N41">I11*225</f>
        <v>58950</v>
      </c>
      <c r="O11" s="8">
        <f aca="true" t="shared" si="1" ref="O11:O41">J11*225</f>
        <v>0</v>
      </c>
      <c r="P11" s="8">
        <f aca="true" t="shared" si="2" ref="P11:P41">K11*225</f>
        <v>154575</v>
      </c>
      <c r="Q11" s="8">
        <f>SUM(M11:P11)</f>
        <v>8305650</v>
      </c>
      <c r="R11" s="503"/>
      <c r="S11" s="10"/>
    </row>
    <row r="12" spans="1:19" ht="12.75">
      <c r="A12" s="201">
        <f>A11+1</f>
        <v>2</v>
      </c>
      <c r="B12" s="201" t="s">
        <v>598</v>
      </c>
      <c r="C12" s="8">
        <v>39730</v>
      </c>
      <c r="D12" s="8">
        <v>3168</v>
      </c>
      <c r="E12" s="8">
        <v>0</v>
      </c>
      <c r="F12" s="8">
        <v>0</v>
      </c>
      <c r="G12" s="8">
        <f aca="true" t="shared" si="3" ref="G12:G41">SUM(C12:F12)</f>
        <v>42898</v>
      </c>
      <c r="H12" s="345">
        <v>35850</v>
      </c>
      <c r="I12" s="410">
        <v>2978</v>
      </c>
      <c r="J12" s="8">
        <v>0</v>
      </c>
      <c r="K12" s="8">
        <v>0</v>
      </c>
      <c r="L12" s="410">
        <f aca="true" t="shared" si="4" ref="L12:L41">SUM(H12:K12)</f>
        <v>38828</v>
      </c>
      <c r="M12" s="8">
        <f aca="true" t="shared" si="5" ref="M12:M41">H12*225</f>
        <v>8066250</v>
      </c>
      <c r="N12" s="8">
        <f t="shared" si="0"/>
        <v>670050</v>
      </c>
      <c r="O12" s="8">
        <f t="shared" si="1"/>
        <v>0</v>
      </c>
      <c r="P12" s="8">
        <f t="shared" si="2"/>
        <v>0</v>
      </c>
      <c r="Q12" s="8">
        <f aca="true" t="shared" si="6" ref="Q12:Q41">SUM(M12:P12)</f>
        <v>8736300</v>
      </c>
      <c r="R12" s="503"/>
      <c r="S12" s="10"/>
    </row>
    <row r="13" spans="1:19" ht="12.75">
      <c r="A13" s="201">
        <f aca="true" t="shared" si="7" ref="A13:A41">A12+1</f>
        <v>3</v>
      </c>
      <c r="B13" s="201" t="s">
        <v>634</v>
      </c>
      <c r="C13" s="8">
        <v>63851</v>
      </c>
      <c r="D13" s="8">
        <v>20982</v>
      </c>
      <c r="E13" s="8">
        <v>0</v>
      </c>
      <c r="F13" s="8">
        <v>471</v>
      </c>
      <c r="G13" s="8">
        <f t="shared" si="3"/>
        <v>85304</v>
      </c>
      <c r="H13" s="345">
        <f>55550+200+400</f>
        <v>56150</v>
      </c>
      <c r="I13" s="410">
        <f>15765+104+500</f>
        <v>16369</v>
      </c>
      <c r="J13" s="8">
        <v>0</v>
      </c>
      <c r="K13" s="8">
        <v>412</v>
      </c>
      <c r="L13" s="410">
        <f t="shared" si="4"/>
        <v>72931</v>
      </c>
      <c r="M13" s="8">
        <f t="shared" si="5"/>
        <v>12633750</v>
      </c>
      <c r="N13" s="8">
        <f t="shared" si="0"/>
        <v>3683025</v>
      </c>
      <c r="O13" s="8">
        <f t="shared" si="1"/>
        <v>0</v>
      </c>
      <c r="P13" s="8">
        <f t="shared" si="2"/>
        <v>92700</v>
      </c>
      <c r="Q13" s="8">
        <f t="shared" si="6"/>
        <v>16409475</v>
      </c>
      <c r="R13" s="503"/>
      <c r="S13" s="10"/>
    </row>
    <row r="14" spans="1:19" ht="12.75">
      <c r="A14" s="201">
        <f t="shared" si="7"/>
        <v>4</v>
      </c>
      <c r="B14" s="201" t="s">
        <v>599</v>
      </c>
      <c r="C14" s="8">
        <v>28094</v>
      </c>
      <c r="D14" s="8">
        <v>60</v>
      </c>
      <c r="E14" s="8">
        <v>0</v>
      </c>
      <c r="F14" s="8">
        <v>289</v>
      </c>
      <c r="G14" s="8">
        <f t="shared" si="3"/>
        <v>28443</v>
      </c>
      <c r="H14" s="345">
        <f>24248-100+800</f>
        <v>24948</v>
      </c>
      <c r="I14" s="410">
        <v>56</v>
      </c>
      <c r="J14" s="8">
        <v>0</v>
      </c>
      <c r="K14" s="8">
        <v>265</v>
      </c>
      <c r="L14" s="410">
        <f t="shared" si="4"/>
        <v>25269</v>
      </c>
      <c r="M14" s="8">
        <f t="shared" si="5"/>
        <v>5613300</v>
      </c>
      <c r="N14" s="8">
        <f t="shared" si="0"/>
        <v>12600</v>
      </c>
      <c r="O14" s="8">
        <f t="shared" si="1"/>
        <v>0</v>
      </c>
      <c r="P14" s="8">
        <f t="shared" si="2"/>
        <v>59625</v>
      </c>
      <c r="Q14" s="8">
        <f t="shared" si="6"/>
        <v>5685525</v>
      </c>
      <c r="R14" s="503"/>
      <c r="S14" s="10"/>
    </row>
    <row r="15" spans="1:19" ht="12.75">
      <c r="A15" s="201">
        <f t="shared" si="7"/>
        <v>5</v>
      </c>
      <c r="B15" s="201" t="s">
        <v>600</v>
      </c>
      <c r="C15" s="8">
        <v>17291</v>
      </c>
      <c r="D15" s="8">
        <v>408</v>
      </c>
      <c r="E15" s="8">
        <v>0</v>
      </c>
      <c r="F15" s="8">
        <v>0</v>
      </c>
      <c r="G15" s="8">
        <f t="shared" si="3"/>
        <v>17699</v>
      </c>
      <c r="H15" s="345">
        <f>15524</f>
        <v>15524</v>
      </c>
      <c r="I15" s="410">
        <v>401</v>
      </c>
      <c r="J15" s="8">
        <v>0</v>
      </c>
      <c r="K15" s="8">
        <v>0</v>
      </c>
      <c r="L15" s="410">
        <f t="shared" si="4"/>
        <v>15925</v>
      </c>
      <c r="M15" s="8">
        <f t="shared" si="5"/>
        <v>3492900</v>
      </c>
      <c r="N15" s="8">
        <f t="shared" si="0"/>
        <v>90225</v>
      </c>
      <c r="O15" s="8">
        <f t="shared" si="1"/>
        <v>0</v>
      </c>
      <c r="P15" s="8">
        <f t="shared" si="2"/>
        <v>0</v>
      </c>
      <c r="Q15" s="8">
        <f t="shared" si="6"/>
        <v>3583125</v>
      </c>
      <c r="R15" s="503"/>
      <c r="S15" s="10"/>
    </row>
    <row r="16" spans="1:19" ht="12.75">
      <c r="A16" s="201">
        <f t="shared" si="7"/>
        <v>6</v>
      </c>
      <c r="B16" s="201" t="s">
        <v>601</v>
      </c>
      <c r="C16" s="8">
        <v>23768</v>
      </c>
      <c r="D16" s="8">
        <v>61</v>
      </c>
      <c r="E16" s="8">
        <v>0</v>
      </c>
      <c r="F16" s="8">
        <v>50</v>
      </c>
      <c r="G16" s="8">
        <f t="shared" si="3"/>
        <v>23879</v>
      </c>
      <c r="H16" s="345">
        <v>21916</v>
      </c>
      <c r="I16" s="410">
        <v>58</v>
      </c>
      <c r="J16" s="8">
        <v>0</v>
      </c>
      <c r="K16" s="8">
        <v>40</v>
      </c>
      <c r="L16" s="410">
        <f t="shared" si="4"/>
        <v>22014</v>
      </c>
      <c r="M16" s="8">
        <f t="shared" si="5"/>
        <v>4931100</v>
      </c>
      <c r="N16" s="8">
        <f t="shared" si="0"/>
        <v>13050</v>
      </c>
      <c r="O16" s="8">
        <f t="shared" si="1"/>
        <v>0</v>
      </c>
      <c r="P16" s="8">
        <f t="shared" si="2"/>
        <v>9000</v>
      </c>
      <c r="Q16" s="8">
        <f t="shared" si="6"/>
        <v>4953150</v>
      </c>
      <c r="R16" s="503"/>
      <c r="S16" s="10"/>
    </row>
    <row r="17" spans="1:19" ht="12.75">
      <c r="A17" s="201">
        <f t="shared" si="7"/>
        <v>7</v>
      </c>
      <c r="B17" s="201" t="s">
        <v>602</v>
      </c>
      <c r="C17" s="8">
        <v>36838</v>
      </c>
      <c r="D17" s="8">
        <v>113</v>
      </c>
      <c r="E17" s="8">
        <v>0</v>
      </c>
      <c r="F17" s="8">
        <v>403</v>
      </c>
      <c r="G17" s="8">
        <f t="shared" si="3"/>
        <v>37354</v>
      </c>
      <c r="H17" s="345">
        <v>32496</v>
      </c>
      <c r="I17" s="410">
        <v>102</v>
      </c>
      <c r="J17" s="8">
        <v>0</v>
      </c>
      <c r="K17" s="8">
        <v>381</v>
      </c>
      <c r="L17" s="410">
        <f t="shared" si="4"/>
        <v>32979</v>
      </c>
      <c r="M17" s="8">
        <f t="shared" si="5"/>
        <v>7311600</v>
      </c>
      <c r="N17" s="8">
        <f t="shared" si="0"/>
        <v>22950</v>
      </c>
      <c r="O17" s="8">
        <f t="shared" si="1"/>
        <v>0</v>
      </c>
      <c r="P17" s="8">
        <f t="shared" si="2"/>
        <v>85725</v>
      </c>
      <c r="Q17" s="8">
        <f t="shared" si="6"/>
        <v>7420275</v>
      </c>
      <c r="R17" s="503"/>
      <c r="S17" s="10"/>
    </row>
    <row r="18" spans="1:19" ht="12.75">
      <c r="A18" s="201">
        <f t="shared" si="7"/>
        <v>8</v>
      </c>
      <c r="B18" s="201" t="s">
        <v>603</v>
      </c>
      <c r="C18" s="8">
        <v>45188</v>
      </c>
      <c r="D18" s="8">
        <v>374</v>
      </c>
      <c r="E18" s="8">
        <v>0</v>
      </c>
      <c r="F18" s="8">
        <v>45</v>
      </c>
      <c r="G18" s="8">
        <f t="shared" si="3"/>
        <v>45607</v>
      </c>
      <c r="H18" s="345">
        <v>40965</v>
      </c>
      <c r="I18" s="410">
        <v>351</v>
      </c>
      <c r="J18" s="8">
        <v>0</v>
      </c>
      <c r="K18" s="8">
        <v>40</v>
      </c>
      <c r="L18" s="410">
        <f t="shared" si="4"/>
        <v>41356</v>
      </c>
      <c r="M18" s="8">
        <f t="shared" si="5"/>
        <v>9217125</v>
      </c>
      <c r="N18" s="8">
        <f t="shared" si="0"/>
        <v>78975</v>
      </c>
      <c r="O18" s="8">
        <f t="shared" si="1"/>
        <v>0</v>
      </c>
      <c r="P18" s="8">
        <f t="shared" si="2"/>
        <v>9000</v>
      </c>
      <c r="Q18" s="8">
        <f t="shared" si="6"/>
        <v>9305100</v>
      </c>
      <c r="R18" s="503"/>
      <c r="S18" s="10"/>
    </row>
    <row r="19" spans="1:19" ht="12.75">
      <c r="A19" s="201">
        <f t="shared" si="7"/>
        <v>9</v>
      </c>
      <c r="B19" s="201" t="s">
        <v>604</v>
      </c>
      <c r="C19" s="8">
        <v>18731</v>
      </c>
      <c r="D19" s="8">
        <v>1004</v>
      </c>
      <c r="E19" s="8">
        <v>0</v>
      </c>
      <c r="F19" s="8">
        <v>189</v>
      </c>
      <c r="G19" s="8">
        <f t="shared" si="3"/>
        <v>19924</v>
      </c>
      <c r="H19" s="345">
        <v>16801</v>
      </c>
      <c r="I19" s="410">
        <v>965</v>
      </c>
      <c r="J19" s="8">
        <v>0</v>
      </c>
      <c r="K19" s="8">
        <v>176</v>
      </c>
      <c r="L19" s="410">
        <f t="shared" si="4"/>
        <v>17942</v>
      </c>
      <c r="M19" s="8">
        <f t="shared" si="5"/>
        <v>3780225</v>
      </c>
      <c r="N19" s="8">
        <f t="shared" si="0"/>
        <v>217125</v>
      </c>
      <c r="O19" s="8">
        <f t="shared" si="1"/>
        <v>0</v>
      </c>
      <c r="P19" s="8">
        <f t="shared" si="2"/>
        <v>39600</v>
      </c>
      <c r="Q19" s="8">
        <f t="shared" si="6"/>
        <v>4036950</v>
      </c>
      <c r="R19" s="503"/>
      <c r="S19" s="10"/>
    </row>
    <row r="20" spans="1:19" ht="12.75">
      <c r="A20" s="201">
        <f t="shared" si="7"/>
        <v>10</v>
      </c>
      <c r="B20" s="201" t="s">
        <v>605</v>
      </c>
      <c r="C20" s="8">
        <v>44799</v>
      </c>
      <c r="D20" s="8">
        <v>2175</v>
      </c>
      <c r="E20" s="8">
        <v>0</v>
      </c>
      <c r="F20" s="8">
        <v>51</v>
      </c>
      <c r="G20" s="8">
        <f t="shared" si="3"/>
        <v>47025</v>
      </c>
      <c r="H20" s="345">
        <v>40429</v>
      </c>
      <c r="I20" s="410">
        <v>1915</v>
      </c>
      <c r="J20" s="8">
        <v>0</v>
      </c>
      <c r="K20" s="8">
        <v>46</v>
      </c>
      <c r="L20" s="410">
        <f t="shared" si="4"/>
        <v>42390</v>
      </c>
      <c r="M20" s="8">
        <f t="shared" si="5"/>
        <v>9096525</v>
      </c>
      <c r="N20" s="8">
        <f t="shared" si="0"/>
        <v>430875</v>
      </c>
      <c r="O20" s="8">
        <f t="shared" si="1"/>
        <v>0</v>
      </c>
      <c r="P20" s="8">
        <f t="shared" si="2"/>
        <v>10350</v>
      </c>
      <c r="Q20" s="8">
        <f t="shared" si="6"/>
        <v>9537750</v>
      </c>
      <c r="S20" s="10"/>
    </row>
    <row r="21" spans="1:17" ht="15" customHeight="1">
      <c r="A21" s="201">
        <f t="shared" si="7"/>
        <v>11</v>
      </c>
      <c r="B21" s="201" t="s">
        <v>635</v>
      </c>
      <c r="C21" s="8">
        <v>30674</v>
      </c>
      <c r="D21" s="8">
        <v>738</v>
      </c>
      <c r="E21" s="8">
        <v>0</v>
      </c>
      <c r="F21" s="8">
        <v>523</v>
      </c>
      <c r="G21" s="8">
        <f t="shared" si="3"/>
        <v>31935</v>
      </c>
      <c r="H21" s="345">
        <v>27229</v>
      </c>
      <c r="I21" s="410">
        <v>731</v>
      </c>
      <c r="J21" s="8">
        <v>0</v>
      </c>
      <c r="K21" s="8">
        <v>476</v>
      </c>
      <c r="L21" s="410">
        <f t="shared" si="4"/>
        <v>28436</v>
      </c>
      <c r="M21" s="8">
        <f t="shared" si="5"/>
        <v>6126525</v>
      </c>
      <c r="N21" s="8">
        <f t="shared" si="0"/>
        <v>164475</v>
      </c>
      <c r="O21" s="8">
        <f t="shared" si="1"/>
        <v>0</v>
      </c>
      <c r="P21" s="8">
        <f t="shared" si="2"/>
        <v>107100</v>
      </c>
      <c r="Q21" s="8">
        <f t="shared" si="6"/>
        <v>6398100</v>
      </c>
    </row>
    <row r="22" spans="1:17" ht="12.75">
      <c r="A22" s="201">
        <f t="shared" si="7"/>
        <v>12</v>
      </c>
      <c r="B22" s="201" t="s">
        <v>606</v>
      </c>
      <c r="C22" s="8">
        <v>29258</v>
      </c>
      <c r="D22" s="8">
        <v>109</v>
      </c>
      <c r="E22" s="8">
        <v>0</v>
      </c>
      <c r="F22" s="8">
        <v>154</v>
      </c>
      <c r="G22" s="8">
        <f t="shared" si="3"/>
        <v>29521</v>
      </c>
      <c r="H22" s="345">
        <v>25260</v>
      </c>
      <c r="I22" s="410">
        <v>99</v>
      </c>
      <c r="J22" s="8">
        <v>0</v>
      </c>
      <c r="K22" s="8">
        <v>129</v>
      </c>
      <c r="L22" s="410">
        <f t="shared" si="4"/>
        <v>25488</v>
      </c>
      <c r="M22" s="8">
        <f t="shared" si="5"/>
        <v>5683500</v>
      </c>
      <c r="N22" s="8">
        <f t="shared" si="0"/>
        <v>22275</v>
      </c>
      <c r="O22" s="8">
        <f t="shared" si="1"/>
        <v>0</v>
      </c>
      <c r="P22" s="8">
        <f t="shared" si="2"/>
        <v>29025</v>
      </c>
      <c r="Q22" s="8">
        <f t="shared" si="6"/>
        <v>5734800</v>
      </c>
    </row>
    <row r="23" spans="1:17" ht="12.75" customHeight="1">
      <c r="A23" s="201">
        <f t="shared" si="7"/>
        <v>13</v>
      </c>
      <c r="B23" s="201" t="s">
        <v>607</v>
      </c>
      <c r="C23" s="8">
        <v>74151</v>
      </c>
      <c r="D23" s="8">
        <v>2192</v>
      </c>
      <c r="E23" s="8">
        <v>0</v>
      </c>
      <c r="F23" s="8">
        <v>1400</v>
      </c>
      <c r="G23" s="8">
        <f t="shared" si="3"/>
        <v>77743</v>
      </c>
      <c r="H23" s="345">
        <v>67535</v>
      </c>
      <c r="I23" s="410">
        <v>2013</v>
      </c>
      <c r="J23" s="8">
        <v>0</v>
      </c>
      <c r="K23" s="8">
        <v>1165</v>
      </c>
      <c r="L23" s="410">
        <f t="shared" si="4"/>
        <v>70713</v>
      </c>
      <c r="M23" s="8">
        <f t="shared" si="5"/>
        <v>15195375</v>
      </c>
      <c r="N23" s="8">
        <f t="shared" si="0"/>
        <v>452925</v>
      </c>
      <c r="O23" s="8">
        <f t="shared" si="1"/>
        <v>0</v>
      </c>
      <c r="P23" s="8">
        <f t="shared" si="2"/>
        <v>262125</v>
      </c>
      <c r="Q23" s="8">
        <f t="shared" si="6"/>
        <v>15910425</v>
      </c>
    </row>
    <row r="24" spans="1:17" ht="12.75">
      <c r="A24" s="201">
        <f t="shared" si="7"/>
        <v>14</v>
      </c>
      <c r="B24" s="201" t="s">
        <v>636</v>
      </c>
      <c r="C24" s="8">
        <v>21806</v>
      </c>
      <c r="D24" s="8">
        <v>1202</v>
      </c>
      <c r="E24" s="8">
        <v>0</v>
      </c>
      <c r="F24" s="8">
        <v>149</v>
      </c>
      <c r="G24" s="8">
        <f t="shared" si="3"/>
        <v>23157</v>
      </c>
      <c r="H24" s="345">
        <v>19308</v>
      </c>
      <c r="I24" s="410">
        <v>1096</v>
      </c>
      <c r="J24" s="8">
        <v>0</v>
      </c>
      <c r="K24" s="8">
        <v>135</v>
      </c>
      <c r="L24" s="410">
        <f t="shared" si="4"/>
        <v>20539</v>
      </c>
      <c r="M24" s="8">
        <f t="shared" si="5"/>
        <v>4344300</v>
      </c>
      <c r="N24" s="8">
        <f t="shared" si="0"/>
        <v>246600</v>
      </c>
      <c r="O24" s="8">
        <f t="shared" si="1"/>
        <v>0</v>
      </c>
      <c r="P24" s="8">
        <f t="shared" si="2"/>
        <v>30375</v>
      </c>
      <c r="Q24" s="8">
        <f t="shared" si="6"/>
        <v>4621275</v>
      </c>
    </row>
    <row r="25" spans="1:17" ht="12.75">
      <c r="A25" s="201">
        <f t="shared" si="7"/>
        <v>15</v>
      </c>
      <c r="B25" s="201" t="s">
        <v>608</v>
      </c>
      <c r="C25" s="8">
        <v>41246</v>
      </c>
      <c r="D25" s="8">
        <v>50</v>
      </c>
      <c r="E25" s="8">
        <v>0</v>
      </c>
      <c r="F25" s="8">
        <v>387</v>
      </c>
      <c r="G25" s="8">
        <f t="shared" si="3"/>
        <v>41683</v>
      </c>
      <c r="H25" s="345">
        <v>36327</v>
      </c>
      <c r="I25" s="410">
        <v>46</v>
      </c>
      <c r="J25" s="8">
        <v>0</v>
      </c>
      <c r="K25" s="8">
        <v>351</v>
      </c>
      <c r="L25" s="410">
        <f t="shared" si="4"/>
        <v>36724</v>
      </c>
      <c r="M25" s="8">
        <f t="shared" si="5"/>
        <v>8173575</v>
      </c>
      <c r="N25" s="8">
        <f t="shared" si="0"/>
        <v>10350</v>
      </c>
      <c r="O25" s="8">
        <f t="shared" si="1"/>
        <v>0</v>
      </c>
      <c r="P25" s="8">
        <f t="shared" si="2"/>
        <v>78975</v>
      </c>
      <c r="Q25" s="8">
        <f t="shared" si="6"/>
        <v>8262900</v>
      </c>
    </row>
    <row r="26" spans="1:17" ht="12.75">
      <c r="A26" s="201">
        <f t="shared" si="7"/>
        <v>16</v>
      </c>
      <c r="B26" s="201" t="s">
        <v>609</v>
      </c>
      <c r="C26" s="8">
        <v>40842</v>
      </c>
      <c r="D26" s="8">
        <v>552</v>
      </c>
      <c r="E26" s="8">
        <v>0</v>
      </c>
      <c r="F26" s="8">
        <v>1463</v>
      </c>
      <c r="G26" s="8">
        <f t="shared" si="3"/>
        <v>42857</v>
      </c>
      <c r="H26" s="345">
        <v>35434</v>
      </c>
      <c r="I26" s="410">
        <v>513</v>
      </c>
      <c r="J26" s="8">
        <v>0</v>
      </c>
      <c r="K26" s="8">
        <v>1256</v>
      </c>
      <c r="L26" s="410">
        <f t="shared" si="4"/>
        <v>37203</v>
      </c>
      <c r="M26" s="8">
        <f t="shared" si="5"/>
        <v>7972650</v>
      </c>
      <c r="N26" s="8">
        <f t="shared" si="0"/>
        <v>115425</v>
      </c>
      <c r="O26" s="8">
        <f t="shared" si="1"/>
        <v>0</v>
      </c>
      <c r="P26" s="8">
        <f t="shared" si="2"/>
        <v>282600</v>
      </c>
      <c r="Q26" s="8">
        <f t="shared" si="6"/>
        <v>8370675</v>
      </c>
    </row>
    <row r="27" spans="1:17" ht="12.75">
      <c r="A27" s="201">
        <f t="shared" si="7"/>
        <v>17</v>
      </c>
      <c r="B27" s="201" t="s">
        <v>610</v>
      </c>
      <c r="C27" s="8">
        <v>35124</v>
      </c>
      <c r="D27" s="8">
        <v>685</v>
      </c>
      <c r="E27" s="8">
        <v>0</v>
      </c>
      <c r="F27" s="8">
        <v>40</v>
      </c>
      <c r="G27" s="8">
        <f t="shared" si="3"/>
        <v>35849</v>
      </c>
      <c r="H27" s="345">
        <v>29998</v>
      </c>
      <c r="I27" s="410">
        <v>575</v>
      </c>
      <c r="J27" s="8">
        <v>0</v>
      </c>
      <c r="K27" s="8">
        <v>35</v>
      </c>
      <c r="L27" s="410">
        <f t="shared" si="4"/>
        <v>30608</v>
      </c>
      <c r="M27" s="8">
        <f t="shared" si="5"/>
        <v>6749550</v>
      </c>
      <c r="N27" s="8">
        <f t="shared" si="0"/>
        <v>129375</v>
      </c>
      <c r="O27" s="8">
        <f t="shared" si="1"/>
        <v>0</v>
      </c>
      <c r="P27" s="8">
        <f t="shared" si="2"/>
        <v>7875</v>
      </c>
      <c r="Q27" s="8">
        <f t="shared" si="6"/>
        <v>6886800</v>
      </c>
    </row>
    <row r="28" spans="1:17" ht="12.75">
      <c r="A28" s="201">
        <f t="shared" si="7"/>
        <v>18</v>
      </c>
      <c r="B28" s="201" t="s">
        <v>611</v>
      </c>
      <c r="C28" s="8">
        <v>49570</v>
      </c>
      <c r="D28" s="8">
        <v>3950</v>
      </c>
      <c r="E28" s="8">
        <v>0</v>
      </c>
      <c r="F28" s="8">
        <v>828</v>
      </c>
      <c r="G28" s="8">
        <f t="shared" si="3"/>
        <v>54348</v>
      </c>
      <c r="H28" s="345">
        <v>44205</v>
      </c>
      <c r="I28" s="410">
        <v>3612</v>
      </c>
      <c r="J28" s="8">
        <v>0</v>
      </c>
      <c r="K28" s="8">
        <v>744</v>
      </c>
      <c r="L28" s="410">
        <f t="shared" si="4"/>
        <v>48561</v>
      </c>
      <c r="M28" s="8">
        <f t="shared" si="5"/>
        <v>9946125</v>
      </c>
      <c r="N28" s="8">
        <f t="shared" si="0"/>
        <v>812700</v>
      </c>
      <c r="O28" s="8">
        <f t="shared" si="1"/>
        <v>0</v>
      </c>
      <c r="P28" s="8">
        <f t="shared" si="2"/>
        <v>167400</v>
      </c>
      <c r="Q28" s="8">
        <f t="shared" si="6"/>
        <v>10926225</v>
      </c>
    </row>
    <row r="29" spans="1:17" ht="12.75">
      <c r="A29" s="201">
        <f t="shared" si="7"/>
        <v>19</v>
      </c>
      <c r="B29" s="201" t="s">
        <v>637</v>
      </c>
      <c r="C29" s="8">
        <v>28045</v>
      </c>
      <c r="D29" s="8">
        <v>227</v>
      </c>
      <c r="E29" s="8">
        <v>0</v>
      </c>
      <c r="F29" s="8">
        <v>766</v>
      </c>
      <c r="G29" s="8">
        <f t="shared" si="3"/>
        <v>29038</v>
      </c>
      <c r="H29" s="345">
        <v>24687</v>
      </c>
      <c r="I29" s="410">
        <v>213</v>
      </c>
      <c r="J29" s="8">
        <v>0</v>
      </c>
      <c r="K29" s="8">
        <v>712</v>
      </c>
      <c r="L29" s="410">
        <f t="shared" si="4"/>
        <v>25612</v>
      </c>
      <c r="M29" s="8">
        <f t="shared" si="5"/>
        <v>5554575</v>
      </c>
      <c r="N29" s="8">
        <f t="shared" si="0"/>
        <v>47925</v>
      </c>
      <c r="O29" s="8">
        <f t="shared" si="1"/>
        <v>0</v>
      </c>
      <c r="P29" s="8">
        <f t="shared" si="2"/>
        <v>160200</v>
      </c>
      <c r="Q29" s="8">
        <f t="shared" si="6"/>
        <v>5762700</v>
      </c>
    </row>
    <row r="30" spans="1:17" ht="12.75">
      <c r="A30" s="201">
        <f t="shared" si="7"/>
        <v>20</v>
      </c>
      <c r="B30" s="201" t="s">
        <v>612</v>
      </c>
      <c r="C30" s="8">
        <v>48594</v>
      </c>
      <c r="D30" s="8">
        <v>6596</v>
      </c>
      <c r="E30" s="8">
        <v>0</v>
      </c>
      <c r="F30" s="8">
        <v>0</v>
      </c>
      <c r="G30" s="8">
        <f t="shared" si="3"/>
        <v>55190</v>
      </c>
      <c r="H30" s="345">
        <v>43677</v>
      </c>
      <c r="I30" s="410">
        <v>6256</v>
      </c>
      <c r="J30" s="8">
        <v>0</v>
      </c>
      <c r="K30" s="8">
        <v>0</v>
      </c>
      <c r="L30" s="410">
        <f t="shared" si="4"/>
        <v>49933</v>
      </c>
      <c r="M30" s="8">
        <f t="shared" si="5"/>
        <v>9827325</v>
      </c>
      <c r="N30" s="8">
        <f t="shared" si="0"/>
        <v>1407600</v>
      </c>
      <c r="O30" s="8">
        <f t="shared" si="1"/>
        <v>0</v>
      </c>
      <c r="P30" s="8">
        <f t="shared" si="2"/>
        <v>0</v>
      </c>
      <c r="Q30" s="8">
        <f t="shared" si="6"/>
        <v>11234925</v>
      </c>
    </row>
    <row r="31" spans="1:17" ht="12.75">
      <c r="A31" s="201">
        <f t="shared" si="7"/>
        <v>21</v>
      </c>
      <c r="B31" s="201" t="s">
        <v>613</v>
      </c>
      <c r="C31" s="8">
        <v>14881</v>
      </c>
      <c r="D31" s="8">
        <v>477</v>
      </c>
      <c r="E31" s="8">
        <v>0</v>
      </c>
      <c r="F31" s="8">
        <v>245</v>
      </c>
      <c r="G31" s="8">
        <f t="shared" si="3"/>
        <v>15603</v>
      </c>
      <c r="H31" s="345">
        <v>12978</v>
      </c>
      <c r="I31" s="410">
        <v>453</v>
      </c>
      <c r="J31" s="8">
        <v>0</v>
      </c>
      <c r="K31" s="8">
        <v>231</v>
      </c>
      <c r="L31" s="410">
        <f t="shared" si="4"/>
        <v>13662</v>
      </c>
      <c r="M31" s="8">
        <f t="shared" si="5"/>
        <v>2920050</v>
      </c>
      <c r="N31" s="8">
        <f t="shared" si="0"/>
        <v>101925</v>
      </c>
      <c r="O31" s="8">
        <f t="shared" si="1"/>
        <v>0</v>
      </c>
      <c r="P31" s="8">
        <f t="shared" si="2"/>
        <v>51975</v>
      </c>
      <c r="Q31" s="8">
        <f t="shared" si="6"/>
        <v>3073950</v>
      </c>
    </row>
    <row r="32" spans="1:17" ht="12.75">
      <c r="A32" s="201">
        <f t="shared" si="7"/>
        <v>22</v>
      </c>
      <c r="B32" s="201" t="s">
        <v>614</v>
      </c>
      <c r="C32" s="8">
        <v>17386</v>
      </c>
      <c r="D32" s="8">
        <v>119</v>
      </c>
      <c r="E32" s="8">
        <v>0</v>
      </c>
      <c r="F32" s="8">
        <v>2</v>
      </c>
      <c r="G32" s="8">
        <f t="shared" si="3"/>
        <v>17507</v>
      </c>
      <c r="H32" s="345">
        <v>15980</v>
      </c>
      <c r="I32" s="410">
        <v>102</v>
      </c>
      <c r="J32" s="8">
        <v>0</v>
      </c>
      <c r="K32" s="8">
        <v>2</v>
      </c>
      <c r="L32" s="410">
        <f t="shared" si="4"/>
        <v>16084</v>
      </c>
      <c r="M32" s="8">
        <f t="shared" si="5"/>
        <v>3595500</v>
      </c>
      <c r="N32" s="8">
        <f t="shared" si="0"/>
        <v>22950</v>
      </c>
      <c r="O32" s="8">
        <f t="shared" si="1"/>
        <v>0</v>
      </c>
      <c r="P32" s="8">
        <f t="shared" si="2"/>
        <v>450</v>
      </c>
      <c r="Q32" s="8">
        <f t="shared" si="6"/>
        <v>3618900</v>
      </c>
    </row>
    <row r="33" spans="1:17" ht="12.75">
      <c r="A33" s="201">
        <f t="shared" si="7"/>
        <v>23</v>
      </c>
      <c r="B33" s="201" t="s">
        <v>615</v>
      </c>
      <c r="C33" s="8">
        <v>72625</v>
      </c>
      <c r="D33" s="8">
        <v>1966</v>
      </c>
      <c r="E33" s="8">
        <v>0</v>
      </c>
      <c r="F33" s="8">
        <v>2539</v>
      </c>
      <c r="G33" s="8">
        <f t="shared" si="3"/>
        <v>77130</v>
      </c>
      <c r="H33" s="345">
        <v>66309</v>
      </c>
      <c r="I33" s="410">
        <v>1762</v>
      </c>
      <c r="J33" s="8">
        <v>0</v>
      </c>
      <c r="K33" s="8">
        <v>2263</v>
      </c>
      <c r="L33" s="410">
        <f t="shared" si="4"/>
        <v>70334</v>
      </c>
      <c r="M33" s="8">
        <f t="shared" si="5"/>
        <v>14919525</v>
      </c>
      <c r="N33" s="8">
        <f t="shared" si="0"/>
        <v>396450</v>
      </c>
      <c r="O33" s="8">
        <f t="shared" si="1"/>
        <v>0</v>
      </c>
      <c r="P33" s="8">
        <f t="shared" si="2"/>
        <v>509175</v>
      </c>
      <c r="Q33" s="8">
        <f t="shared" si="6"/>
        <v>15825150</v>
      </c>
    </row>
    <row r="34" spans="1:17" ht="12.75">
      <c r="A34" s="201">
        <f t="shared" si="7"/>
        <v>24</v>
      </c>
      <c r="B34" s="201" t="s">
        <v>616</v>
      </c>
      <c r="C34" s="8">
        <v>60156</v>
      </c>
      <c r="D34" s="8">
        <v>568</v>
      </c>
      <c r="E34" s="8">
        <v>0</v>
      </c>
      <c r="F34" s="8">
        <v>542</v>
      </c>
      <c r="G34" s="8">
        <f t="shared" si="3"/>
        <v>61266</v>
      </c>
      <c r="H34" s="345">
        <v>53530</v>
      </c>
      <c r="I34" s="410">
        <v>516</v>
      </c>
      <c r="J34" s="8">
        <v>0</v>
      </c>
      <c r="K34" s="8">
        <v>462</v>
      </c>
      <c r="L34" s="410">
        <f t="shared" si="4"/>
        <v>54508</v>
      </c>
      <c r="M34" s="8">
        <f t="shared" si="5"/>
        <v>12044250</v>
      </c>
      <c r="N34" s="8">
        <f t="shared" si="0"/>
        <v>116100</v>
      </c>
      <c r="O34" s="8">
        <f t="shared" si="1"/>
        <v>0</v>
      </c>
      <c r="P34" s="8">
        <f t="shared" si="2"/>
        <v>103950</v>
      </c>
      <c r="Q34" s="8">
        <f t="shared" si="6"/>
        <v>12264300</v>
      </c>
    </row>
    <row r="35" spans="1:17" ht="12.75">
      <c r="A35" s="201">
        <f t="shared" si="7"/>
        <v>25</v>
      </c>
      <c r="B35" s="201" t="s">
        <v>617</v>
      </c>
      <c r="C35" s="8">
        <v>38648</v>
      </c>
      <c r="D35" s="8">
        <v>31</v>
      </c>
      <c r="E35" s="8">
        <v>0</v>
      </c>
      <c r="F35" s="8">
        <v>193</v>
      </c>
      <c r="G35" s="8">
        <f t="shared" si="3"/>
        <v>38872</v>
      </c>
      <c r="H35" s="345">
        <v>35304</v>
      </c>
      <c r="I35" s="410">
        <v>28</v>
      </c>
      <c r="J35" s="8">
        <v>0</v>
      </c>
      <c r="K35" s="8">
        <v>177</v>
      </c>
      <c r="L35" s="410">
        <f t="shared" si="4"/>
        <v>35509</v>
      </c>
      <c r="M35" s="8">
        <f t="shared" si="5"/>
        <v>7943400</v>
      </c>
      <c r="N35" s="8">
        <f t="shared" si="0"/>
        <v>6300</v>
      </c>
      <c r="O35" s="8">
        <f t="shared" si="1"/>
        <v>0</v>
      </c>
      <c r="P35" s="8">
        <f t="shared" si="2"/>
        <v>39825</v>
      </c>
      <c r="Q35" s="8">
        <f t="shared" si="6"/>
        <v>7989525</v>
      </c>
    </row>
    <row r="36" spans="1:17" ht="12.75">
      <c r="A36" s="201">
        <f t="shared" si="7"/>
        <v>26</v>
      </c>
      <c r="B36" s="201" t="s">
        <v>618</v>
      </c>
      <c r="C36" s="8">
        <v>31554</v>
      </c>
      <c r="D36" s="8">
        <v>1736</v>
      </c>
      <c r="E36" s="8">
        <v>0</v>
      </c>
      <c r="F36" s="8">
        <v>478</v>
      </c>
      <c r="G36" s="8">
        <f t="shared" si="3"/>
        <v>33768</v>
      </c>
      <c r="H36" s="345">
        <v>27786</v>
      </c>
      <c r="I36" s="410">
        <v>1612</v>
      </c>
      <c r="J36" s="8">
        <v>0</v>
      </c>
      <c r="K36" s="8">
        <v>416</v>
      </c>
      <c r="L36" s="410">
        <f t="shared" si="4"/>
        <v>29814</v>
      </c>
      <c r="M36" s="8">
        <f t="shared" si="5"/>
        <v>6251850</v>
      </c>
      <c r="N36" s="8">
        <f t="shared" si="0"/>
        <v>362700</v>
      </c>
      <c r="O36" s="8">
        <f t="shared" si="1"/>
        <v>0</v>
      </c>
      <c r="P36" s="8">
        <f t="shared" si="2"/>
        <v>93600</v>
      </c>
      <c r="Q36" s="8">
        <f t="shared" si="6"/>
        <v>6708150</v>
      </c>
    </row>
    <row r="37" spans="1:17" ht="12.75">
      <c r="A37" s="201">
        <f t="shared" si="7"/>
        <v>27</v>
      </c>
      <c r="B37" s="201" t="s">
        <v>619</v>
      </c>
      <c r="C37" s="8">
        <v>48065</v>
      </c>
      <c r="D37" s="8">
        <v>2275</v>
      </c>
      <c r="E37" s="8">
        <v>0</v>
      </c>
      <c r="F37" s="8">
        <v>73</v>
      </c>
      <c r="G37" s="8">
        <f t="shared" si="3"/>
        <v>50413</v>
      </c>
      <c r="H37" s="345">
        <v>42649</v>
      </c>
      <c r="I37" s="410">
        <v>2135</v>
      </c>
      <c r="J37" s="8">
        <v>0</v>
      </c>
      <c r="K37" s="8">
        <v>62</v>
      </c>
      <c r="L37" s="410">
        <f t="shared" si="4"/>
        <v>44846</v>
      </c>
      <c r="M37" s="8">
        <f t="shared" si="5"/>
        <v>9596025</v>
      </c>
      <c r="N37" s="8">
        <f t="shared" si="0"/>
        <v>480375</v>
      </c>
      <c r="O37" s="8">
        <f t="shared" si="1"/>
        <v>0</v>
      </c>
      <c r="P37" s="8">
        <f t="shared" si="2"/>
        <v>13950</v>
      </c>
      <c r="Q37" s="8">
        <f t="shared" si="6"/>
        <v>10090350</v>
      </c>
    </row>
    <row r="38" spans="1:17" ht="12.75">
      <c r="A38" s="201">
        <f t="shared" si="7"/>
        <v>28</v>
      </c>
      <c r="B38" s="143" t="s">
        <v>620</v>
      </c>
      <c r="C38" s="8">
        <v>24450</v>
      </c>
      <c r="D38" s="8">
        <v>193</v>
      </c>
      <c r="E38" s="8">
        <v>0</v>
      </c>
      <c r="F38" s="8">
        <v>0</v>
      </c>
      <c r="G38" s="8">
        <f t="shared" si="3"/>
        <v>24643</v>
      </c>
      <c r="H38" s="345">
        <v>22675</v>
      </c>
      <c r="I38" s="410">
        <v>176</v>
      </c>
      <c r="J38" s="8">
        <v>0</v>
      </c>
      <c r="K38" s="8">
        <v>0</v>
      </c>
      <c r="L38" s="410">
        <f t="shared" si="4"/>
        <v>22851</v>
      </c>
      <c r="M38" s="8">
        <f t="shared" si="5"/>
        <v>5101875</v>
      </c>
      <c r="N38" s="8">
        <f t="shared" si="0"/>
        <v>39600</v>
      </c>
      <c r="O38" s="8">
        <f t="shared" si="1"/>
        <v>0</v>
      </c>
      <c r="P38" s="8">
        <f t="shared" si="2"/>
        <v>0</v>
      </c>
      <c r="Q38" s="8">
        <f t="shared" si="6"/>
        <v>5141475</v>
      </c>
    </row>
    <row r="39" spans="1:17" ht="12.75">
      <c r="A39" s="201">
        <f t="shared" si="7"/>
        <v>29</v>
      </c>
      <c r="B39" s="143" t="s">
        <v>621</v>
      </c>
      <c r="C39" s="8">
        <v>19410</v>
      </c>
      <c r="D39" s="8">
        <v>54</v>
      </c>
      <c r="E39" s="8">
        <v>0</v>
      </c>
      <c r="F39" s="8">
        <v>46</v>
      </c>
      <c r="G39" s="8">
        <f t="shared" si="3"/>
        <v>19510</v>
      </c>
      <c r="H39" s="345">
        <v>17529</v>
      </c>
      <c r="I39" s="410">
        <v>49</v>
      </c>
      <c r="J39" s="8">
        <v>0</v>
      </c>
      <c r="K39" s="8">
        <v>40</v>
      </c>
      <c r="L39" s="410">
        <f t="shared" si="4"/>
        <v>17618</v>
      </c>
      <c r="M39" s="8">
        <f t="shared" si="5"/>
        <v>3944025</v>
      </c>
      <c r="N39" s="8">
        <f t="shared" si="0"/>
        <v>11025</v>
      </c>
      <c r="O39" s="8">
        <f t="shared" si="1"/>
        <v>0</v>
      </c>
      <c r="P39" s="8">
        <f t="shared" si="2"/>
        <v>9000</v>
      </c>
      <c r="Q39" s="8">
        <f t="shared" si="6"/>
        <v>3964050</v>
      </c>
    </row>
    <row r="40" spans="1:17" ht="12.75">
      <c r="A40" s="201">
        <f t="shared" si="7"/>
        <v>30</v>
      </c>
      <c r="B40" s="143" t="s">
        <v>622</v>
      </c>
      <c r="C40" s="8">
        <v>19735</v>
      </c>
      <c r="D40" s="8">
        <v>2724</v>
      </c>
      <c r="E40" s="8">
        <v>0</v>
      </c>
      <c r="F40" s="8">
        <v>771</v>
      </c>
      <c r="G40" s="8">
        <f t="shared" si="3"/>
        <v>23230</v>
      </c>
      <c r="H40" s="345">
        <v>17862</v>
      </c>
      <c r="I40" s="410">
        <v>2563</v>
      </c>
      <c r="J40" s="8">
        <v>0</v>
      </c>
      <c r="K40" s="8">
        <v>640</v>
      </c>
      <c r="L40" s="410">
        <f t="shared" si="4"/>
        <v>21065</v>
      </c>
      <c r="M40" s="8">
        <f t="shared" si="5"/>
        <v>4018950</v>
      </c>
      <c r="N40" s="8">
        <f t="shared" si="0"/>
        <v>576675</v>
      </c>
      <c r="O40" s="8">
        <f t="shared" si="1"/>
        <v>0</v>
      </c>
      <c r="P40" s="8">
        <f t="shared" si="2"/>
        <v>144000</v>
      </c>
      <c r="Q40" s="8">
        <f t="shared" si="6"/>
        <v>4739625</v>
      </c>
    </row>
    <row r="41" spans="1:17" ht="12.75">
      <c r="A41" s="201">
        <f t="shared" si="7"/>
        <v>31</v>
      </c>
      <c r="B41" s="143" t="s">
        <v>623</v>
      </c>
      <c r="C41" s="8">
        <v>20441</v>
      </c>
      <c r="D41" s="8">
        <v>224</v>
      </c>
      <c r="E41" s="8">
        <v>0</v>
      </c>
      <c r="F41" s="8">
        <v>128</v>
      </c>
      <c r="G41" s="8">
        <f t="shared" si="3"/>
        <v>20793</v>
      </c>
      <c r="H41" s="345">
        <v>18417</v>
      </c>
      <c r="I41" s="410">
        <v>211</v>
      </c>
      <c r="J41" s="8">
        <v>0</v>
      </c>
      <c r="K41" s="8">
        <v>98</v>
      </c>
      <c r="L41" s="410">
        <f t="shared" si="4"/>
        <v>18726</v>
      </c>
      <c r="M41" s="8">
        <f t="shared" si="5"/>
        <v>4143825</v>
      </c>
      <c r="N41" s="8">
        <f t="shared" si="0"/>
        <v>47475</v>
      </c>
      <c r="O41" s="8">
        <f t="shared" si="1"/>
        <v>0</v>
      </c>
      <c r="P41" s="8">
        <f t="shared" si="2"/>
        <v>22050</v>
      </c>
      <c r="Q41" s="8">
        <f t="shared" si="6"/>
        <v>4213350</v>
      </c>
    </row>
    <row r="42" spans="1:17" s="5" customFormat="1" ht="12.75">
      <c r="A42" s="150"/>
      <c r="B42" s="150" t="s">
        <v>624</v>
      </c>
      <c r="C42" s="17">
        <f>SUM(C11:C41)</f>
        <v>1124910</v>
      </c>
      <c r="D42" s="17">
        <f aca="true" t="shared" si="8" ref="D42:Q42">SUM(D11:D41)</f>
        <v>55298</v>
      </c>
      <c r="E42" s="17">
        <f t="shared" si="8"/>
        <v>0</v>
      </c>
      <c r="F42" s="17">
        <f t="shared" si="8"/>
        <v>12941</v>
      </c>
      <c r="G42" s="17">
        <f t="shared" si="8"/>
        <v>1193149</v>
      </c>
      <c r="H42" s="17">
        <f t="shared" si="8"/>
        <v>1005723</v>
      </c>
      <c r="I42" s="346">
        <f t="shared" si="8"/>
        <v>48218</v>
      </c>
      <c r="J42" s="17">
        <f t="shared" si="8"/>
        <v>0</v>
      </c>
      <c r="K42" s="17">
        <f t="shared" si="8"/>
        <v>11441</v>
      </c>
      <c r="L42" s="346">
        <f t="shared" si="8"/>
        <v>1065382</v>
      </c>
      <c r="M42" s="17">
        <f t="shared" si="8"/>
        <v>226287675</v>
      </c>
      <c r="N42" s="17">
        <f t="shared" si="8"/>
        <v>10849050</v>
      </c>
      <c r="O42" s="17">
        <f t="shared" si="8"/>
        <v>0</v>
      </c>
      <c r="P42" s="17">
        <f t="shared" si="8"/>
        <v>2574225</v>
      </c>
      <c r="Q42" s="17">
        <f t="shared" si="8"/>
        <v>239710950</v>
      </c>
    </row>
    <row r="43" spans="1:13" ht="12.75">
      <c r="A43" s="9" t="s">
        <v>8</v>
      </c>
      <c r="H43" s="411"/>
      <c r="I43" s="10"/>
      <c r="J43" s="10"/>
      <c r="K43" s="10"/>
      <c r="L43" s="476"/>
      <c r="M43" s="10"/>
    </row>
    <row r="44" ht="12.75">
      <c r="A44" s="6" t="s">
        <v>9</v>
      </c>
    </row>
    <row r="45" spans="1:12" ht="12.75">
      <c r="A45" s="6" t="s">
        <v>10</v>
      </c>
      <c r="J45" s="3"/>
      <c r="K45" s="3"/>
      <c r="L45" s="3"/>
    </row>
    <row r="46" spans="1:12" ht="12.75">
      <c r="A46" s="6" t="s">
        <v>421</v>
      </c>
      <c r="J46" s="3"/>
      <c r="K46" s="3"/>
      <c r="L46" s="3"/>
    </row>
    <row r="47" spans="3:13" ht="12.75">
      <c r="C47" s="6" t="s">
        <v>422</v>
      </c>
      <c r="E47" s="10"/>
      <c r="F47" s="10"/>
      <c r="G47" s="10"/>
      <c r="H47" s="10"/>
      <c r="I47" s="10"/>
      <c r="J47" s="10"/>
      <c r="K47" s="10"/>
      <c r="L47" s="10"/>
      <c r="M47" s="10"/>
    </row>
    <row r="48" spans="1:12" ht="12.75">
      <c r="A48" s="644"/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</row>
    <row r="49" spans="13:17" ht="15.75">
      <c r="M49" s="621" t="s">
        <v>860</v>
      </c>
      <c r="N49" s="621"/>
      <c r="O49" s="621"/>
      <c r="P49" s="621"/>
      <c r="Q49" s="621"/>
    </row>
    <row r="50" spans="13:17" ht="15.75">
      <c r="M50" s="621" t="s">
        <v>653</v>
      </c>
      <c r="N50" s="621"/>
      <c r="O50" s="621"/>
      <c r="P50" s="621"/>
      <c r="Q50" s="621"/>
    </row>
  </sheetData>
  <sheetProtection/>
  <mergeCells count="13">
    <mergeCell ref="M49:Q49"/>
    <mergeCell ref="M50:Q50"/>
    <mergeCell ref="A2:Q2"/>
    <mergeCell ref="A3:Q3"/>
    <mergeCell ref="A5:Q5"/>
    <mergeCell ref="A48:L48"/>
    <mergeCell ref="O1:Q1"/>
    <mergeCell ref="A8:A9"/>
    <mergeCell ref="B8:B9"/>
    <mergeCell ref="C8:G8"/>
    <mergeCell ref="H8:L8"/>
    <mergeCell ref="M8:Q8"/>
    <mergeCell ref="O7:Q7"/>
  </mergeCells>
  <printOptions horizontalCentered="1"/>
  <pageMargins left="0.5" right="0.47" top="0.42" bottom="0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3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140625" style="6" customWidth="1"/>
    <col min="2" max="2" width="21.57421875" style="6" customWidth="1"/>
    <col min="3" max="3" width="9.57421875" style="6" customWidth="1"/>
    <col min="4" max="4" width="9.28125" style="6" customWidth="1"/>
    <col min="5" max="6" width="9.140625" style="6" customWidth="1"/>
    <col min="7" max="7" width="10.8515625" style="6" customWidth="1"/>
    <col min="8" max="8" width="10.28125" style="6" customWidth="1"/>
    <col min="9" max="9" width="10.8515625" style="6" customWidth="1"/>
    <col min="10" max="10" width="10.28125" style="6" customWidth="1"/>
    <col min="11" max="11" width="11.28125" style="6" customWidth="1"/>
    <col min="12" max="12" width="11.7109375" style="6" customWidth="1"/>
    <col min="13" max="13" width="12.00390625" style="6" customWidth="1"/>
    <col min="14" max="14" width="10.140625" style="6" customWidth="1"/>
    <col min="15" max="15" width="8.8515625" style="6" customWidth="1"/>
    <col min="16" max="16" width="9.140625" style="6" customWidth="1"/>
    <col min="17" max="17" width="12.00390625" style="6" customWidth="1"/>
    <col min="18" max="18" width="9.140625" style="6" hidden="1" customWidth="1"/>
    <col min="19" max="16384" width="9.140625" style="6" customWidth="1"/>
  </cols>
  <sheetData>
    <row r="1" spans="15:17" ht="12.75" customHeight="1">
      <c r="O1" s="558" t="s">
        <v>57</v>
      </c>
      <c r="P1" s="558"/>
      <c r="Q1" s="558"/>
    </row>
    <row r="2" spans="1:17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</row>
    <row r="3" spans="1:17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ht="11.25" customHeight="1"/>
    <row r="5" spans="1:17" ht="15.75" customHeight="1">
      <c r="A5" s="652" t="s">
        <v>706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</row>
    <row r="7" spans="1:17" s="5" customFormat="1" ht="12.75">
      <c r="A7" s="21" t="s">
        <v>665</v>
      </c>
      <c r="B7" s="21"/>
      <c r="N7" s="640" t="s">
        <v>750</v>
      </c>
      <c r="O7" s="640"/>
      <c r="P7" s="640"/>
      <c r="Q7" s="640"/>
    </row>
    <row r="8" spans="1:17" s="5" customFormat="1" ht="29.25" customHeight="1">
      <c r="A8" s="530" t="s">
        <v>2</v>
      </c>
      <c r="B8" s="530" t="s">
        <v>3</v>
      </c>
      <c r="C8" s="561" t="s">
        <v>781</v>
      </c>
      <c r="D8" s="561"/>
      <c r="E8" s="561"/>
      <c r="F8" s="653"/>
      <c r="G8" s="653"/>
      <c r="H8" s="647" t="s">
        <v>552</v>
      </c>
      <c r="I8" s="561"/>
      <c r="J8" s="561"/>
      <c r="K8" s="561"/>
      <c r="L8" s="561"/>
      <c r="M8" s="537" t="s">
        <v>105</v>
      </c>
      <c r="N8" s="538"/>
      <c r="O8" s="538"/>
      <c r="P8" s="538"/>
      <c r="Q8" s="539"/>
    </row>
    <row r="9" spans="1:19" s="5" customFormat="1" ht="38.25">
      <c r="A9" s="530"/>
      <c r="B9" s="530"/>
      <c r="C9" s="1" t="s">
        <v>210</v>
      </c>
      <c r="D9" s="1" t="s">
        <v>211</v>
      </c>
      <c r="E9" s="1" t="s">
        <v>348</v>
      </c>
      <c r="F9" s="151" t="s">
        <v>217</v>
      </c>
      <c r="G9" s="151" t="s">
        <v>113</v>
      </c>
      <c r="H9" s="1" t="s">
        <v>210</v>
      </c>
      <c r="I9" s="1" t="s">
        <v>211</v>
      </c>
      <c r="J9" s="1" t="s">
        <v>348</v>
      </c>
      <c r="K9" s="1" t="s">
        <v>217</v>
      </c>
      <c r="L9" s="1" t="s">
        <v>114</v>
      </c>
      <c r="M9" s="1" t="s">
        <v>210</v>
      </c>
      <c r="N9" s="1" t="s">
        <v>211</v>
      </c>
      <c r="O9" s="1" t="s">
        <v>348</v>
      </c>
      <c r="P9" s="151" t="s">
        <v>217</v>
      </c>
      <c r="Q9" s="1" t="s">
        <v>115</v>
      </c>
      <c r="R9" s="17"/>
      <c r="S9" s="18"/>
    </row>
    <row r="10" spans="1:17" s="5" customFormat="1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5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44">
        <v>14</v>
      </c>
      <c r="O10" s="158">
        <v>15</v>
      </c>
      <c r="P10" s="1">
        <v>16</v>
      </c>
      <c r="Q10" s="1">
        <v>17</v>
      </c>
    </row>
    <row r="11" spans="1:20" ht="12.75">
      <c r="A11" s="201">
        <v>1</v>
      </c>
      <c r="B11" s="201" t="s">
        <v>633</v>
      </c>
      <c r="C11" s="8">
        <v>16568</v>
      </c>
      <c r="D11" s="8">
        <v>187</v>
      </c>
      <c r="E11" s="8">
        <v>0</v>
      </c>
      <c r="F11" s="15">
        <v>335</v>
      </c>
      <c r="G11" s="15">
        <f>SUM(C11:F11)</f>
        <v>17090</v>
      </c>
      <c r="H11" s="410">
        <f>14917+100</f>
        <v>15017</v>
      </c>
      <c r="I11" s="8">
        <v>165</v>
      </c>
      <c r="J11" s="8">
        <v>0</v>
      </c>
      <c r="K11" s="8">
        <v>310</v>
      </c>
      <c r="L11" s="410">
        <f>SUM(H11:K11)</f>
        <v>15492</v>
      </c>
      <c r="M11" s="410">
        <f>H11*225</f>
        <v>3378825</v>
      </c>
      <c r="N11" s="410">
        <f aca="true" t="shared" si="0" ref="N11:P41">I11*225</f>
        <v>37125</v>
      </c>
      <c r="O11" s="410">
        <f>J11*295</f>
        <v>0</v>
      </c>
      <c r="P11" s="410">
        <f t="shared" si="0"/>
        <v>69750</v>
      </c>
      <c r="Q11" s="410">
        <f>SUM(M11:P11)</f>
        <v>3485700</v>
      </c>
      <c r="T11" s="347"/>
    </row>
    <row r="12" spans="1:20" ht="12.75">
      <c r="A12" s="201">
        <f>A11+1</f>
        <v>2</v>
      </c>
      <c r="B12" s="201" t="s">
        <v>598</v>
      </c>
      <c r="C12" s="8">
        <v>17688</v>
      </c>
      <c r="D12" s="8">
        <v>1823</v>
      </c>
      <c r="E12" s="8">
        <v>399</v>
      </c>
      <c r="F12" s="15">
        <v>0</v>
      </c>
      <c r="G12" s="15">
        <f aca="true" t="shared" si="1" ref="G12:G41">SUM(C12:F12)</f>
        <v>19910</v>
      </c>
      <c r="H12" s="410">
        <f>14838+100+600</f>
        <v>15538</v>
      </c>
      <c r="I12" s="8">
        <v>1685</v>
      </c>
      <c r="J12" s="8">
        <v>365</v>
      </c>
      <c r="K12" s="8">
        <v>0</v>
      </c>
      <c r="L12" s="410">
        <f aca="true" t="shared" si="2" ref="L12:L41">SUM(H12:K12)</f>
        <v>17588</v>
      </c>
      <c r="M12" s="410">
        <f aca="true" t="shared" si="3" ref="M12:M41">H12*225</f>
        <v>3496050</v>
      </c>
      <c r="N12" s="410">
        <f t="shared" si="0"/>
        <v>379125</v>
      </c>
      <c r="O12" s="410">
        <f aca="true" t="shared" si="4" ref="O12:O41">J12*295</f>
        <v>107675</v>
      </c>
      <c r="P12" s="410">
        <f t="shared" si="0"/>
        <v>0</v>
      </c>
      <c r="Q12" s="410">
        <f aca="true" t="shared" si="5" ref="Q12:Q41">SUM(M12:P12)</f>
        <v>3982850</v>
      </c>
      <c r="T12" s="347"/>
    </row>
    <row r="13" spans="1:20" ht="12.75">
      <c r="A13" s="201">
        <f aca="true" t="shared" si="6" ref="A13:A41">A12+1</f>
        <v>3</v>
      </c>
      <c r="B13" s="201" t="s">
        <v>634</v>
      </c>
      <c r="C13" s="8">
        <v>32309</v>
      </c>
      <c r="D13" s="8">
        <v>12647</v>
      </c>
      <c r="E13" s="8">
        <v>0</v>
      </c>
      <c r="F13" s="15">
        <v>48</v>
      </c>
      <c r="G13" s="406">
        <f t="shared" si="1"/>
        <v>45004</v>
      </c>
      <c r="H13" s="410">
        <f>27786+800+300</f>
        <v>28886</v>
      </c>
      <c r="I13" s="407">
        <v>9825</v>
      </c>
      <c r="J13" s="407">
        <v>0</v>
      </c>
      <c r="K13" s="407">
        <v>40</v>
      </c>
      <c r="L13" s="412">
        <f t="shared" si="2"/>
        <v>38751</v>
      </c>
      <c r="M13" s="410">
        <f t="shared" si="3"/>
        <v>6499350</v>
      </c>
      <c r="N13" s="410">
        <f t="shared" si="0"/>
        <v>2210625</v>
      </c>
      <c r="O13" s="410">
        <f t="shared" si="4"/>
        <v>0</v>
      </c>
      <c r="P13" s="410">
        <f t="shared" si="0"/>
        <v>9000</v>
      </c>
      <c r="Q13" s="412">
        <f t="shared" si="5"/>
        <v>8718975</v>
      </c>
      <c r="T13" s="347"/>
    </row>
    <row r="14" spans="1:20" ht="12.75">
      <c r="A14" s="201">
        <f t="shared" si="6"/>
        <v>4</v>
      </c>
      <c r="B14" s="201" t="s">
        <v>599</v>
      </c>
      <c r="C14" s="8">
        <v>20509</v>
      </c>
      <c r="D14" s="8">
        <v>10</v>
      </c>
      <c r="E14" s="8">
        <v>0</v>
      </c>
      <c r="F14" s="15">
        <v>0</v>
      </c>
      <c r="G14" s="15">
        <f t="shared" si="1"/>
        <v>20519</v>
      </c>
      <c r="H14" s="410">
        <v>18563</v>
      </c>
      <c r="I14" s="8">
        <v>10</v>
      </c>
      <c r="J14" s="8">
        <v>0</v>
      </c>
      <c r="K14" s="8">
        <v>0</v>
      </c>
      <c r="L14" s="410">
        <f t="shared" si="2"/>
        <v>18573</v>
      </c>
      <c r="M14" s="410">
        <f t="shared" si="3"/>
        <v>4176675</v>
      </c>
      <c r="N14" s="410">
        <f t="shared" si="0"/>
        <v>2250</v>
      </c>
      <c r="O14" s="410">
        <f t="shared" si="4"/>
        <v>0</v>
      </c>
      <c r="P14" s="410">
        <f t="shared" si="0"/>
        <v>0</v>
      </c>
      <c r="Q14" s="410">
        <f t="shared" si="5"/>
        <v>4178925</v>
      </c>
      <c r="T14" s="347"/>
    </row>
    <row r="15" spans="1:20" ht="12.75">
      <c r="A15" s="201">
        <f t="shared" si="6"/>
        <v>5</v>
      </c>
      <c r="B15" s="201" t="s">
        <v>600</v>
      </c>
      <c r="C15" s="8">
        <v>13749</v>
      </c>
      <c r="D15" s="8">
        <v>112</v>
      </c>
      <c r="E15" s="8">
        <v>0</v>
      </c>
      <c r="F15" s="15">
        <v>0</v>
      </c>
      <c r="G15" s="15">
        <f t="shared" si="1"/>
        <v>13861</v>
      </c>
      <c r="H15" s="410">
        <v>11529</v>
      </c>
      <c r="I15" s="8">
        <v>104</v>
      </c>
      <c r="J15" s="8">
        <v>0</v>
      </c>
      <c r="K15" s="8">
        <v>0</v>
      </c>
      <c r="L15" s="410">
        <f t="shared" si="2"/>
        <v>11633</v>
      </c>
      <c r="M15" s="410">
        <f t="shared" si="3"/>
        <v>2594025</v>
      </c>
      <c r="N15" s="410">
        <f t="shared" si="0"/>
        <v>23400</v>
      </c>
      <c r="O15" s="410">
        <f t="shared" si="4"/>
        <v>0</v>
      </c>
      <c r="P15" s="410">
        <f t="shared" si="0"/>
        <v>0</v>
      </c>
      <c r="Q15" s="410">
        <f t="shared" si="5"/>
        <v>2617425</v>
      </c>
      <c r="T15" s="347"/>
    </row>
    <row r="16" spans="1:20" ht="12.75">
      <c r="A16" s="201">
        <f t="shared" si="6"/>
        <v>6</v>
      </c>
      <c r="B16" s="201" t="s">
        <v>601</v>
      </c>
      <c r="C16" s="8">
        <v>11894</v>
      </c>
      <c r="D16" s="8">
        <v>0</v>
      </c>
      <c r="E16" s="8">
        <v>38</v>
      </c>
      <c r="F16" s="15">
        <v>0</v>
      </c>
      <c r="G16" s="15">
        <f t="shared" si="1"/>
        <v>11932</v>
      </c>
      <c r="H16" s="410">
        <f>10191-100+350+300</f>
        <v>10741</v>
      </c>
      <c r="I16" s="8">
        <v>0</v>
      </c>
      <c r="J16" s="8">
        <v>38</v>
      </c>
      <c r="K16" s="8">
        <v>0</v>
      </c>
      <c r="L16" s="410">
        <f t="shared" si="2"/>
        <v>10779</v>
      </c>
      <c r="M16" s="410">
        <f t="shared" si="3"/>
        <v>2416725</v>
      </c>
      <c r="N16" s="410">
        <f t="shared" si="0"/>
        <v>0</v>
      </c>
      <c r="O16" s="410">
        <f t="shared" si="4"/>
        <v>11210</v>
      </c>
      <c r="P16" s="410">
        <f t="shared" si="0"/>
        <v>0</v>
      </c>
      <c r="Q16" s="410">
        <f t="shared" si="5"/>
        <v>2427935</v>
      </c>
      <c r="T16" s="347"/>
    </row>
    <row r="17" spans="1:20" ht="12.75">
      <c r="A17" s="201">
        <f t="shared" si="6"/>
        <v>7</v>
      </c>
      <c r="B17" s="201" t="s">
        <v>602</v>
      </c>
      <c r="C17" s="8">
        <v>18775</v>
      </c>
      <c r="D17" s="8">
        <v>122</v>
      </c>
      <c r="E17" s="8">
        <v>0</v>
      </c>
      <c r="F17" s="15">
        <v>191</v>
      </c>
      <c r="G17" s="15">
        <f t="shared" si="1"/>
        <v>19088</v>
      </c>
      <c r="H17" s="410">
        <v>16883</v>
      </c>
      <c r="I17" s="8">
        <v>116</v>
      </c>
      <c r="J17" s="8">
        <v>0</v>
      </c>
      <c r="K17" s="8">
        <v>160</v>
      </c>
      <c r="L17" s="410">
        <f t="shared" si="2"/>
        <v>17159</v>
      </c>
      <c r="M17" s="410">
        <f t="shared" si="3"/>
        <v>3798675</v>
      </c>
      <c r="N17" s="410">
        <f t="shared" si="0"/>
        <v>26100</v>
      </c>
      <c r="O17" s="410">
        <f t="shared" si="4"/>
        <v>0</v>
      </c>
      <c r="P17" s="410">
        <f t="shared" si="0"/>
        <v>36000</v>
      </c>
      <c r="Q17" s="410">
        <f t="shared" si="5"/>
        <v>3860775</v>
      </c>
      <c r="T17" s="347"/>
    </row>
    <row r="18" spans="1:20" ht="12.75">
      <c r="A18" s="201">
        <f t="shared" si="6"/>
        <v>8</v>
      </c>
      <c r="B18" s="201" t="s">
        <v>603</v>
      </c>
      <c r="C18" s="8">
        <v>26357</v>
      </c>
      <c r="D18" s="8">
        <v>173</v>
      </c>
      <c r="E18" s="8">
        <v>209</v>
      </c>
      <c r="F18" s="15">
        <v>0</v>
      </c>
      <c r="G18" s="15">
        <f t="shared" si="1"/>
        <v>26739</v>
      </c>
      <c r="H18" s="410">
        <v>22653</v>
      </c>
      <c r="I18" s="8">
        <v>158</v>
      </c>
      <c r="J18" s="8">
        <v>180</v>
      </c>
      <c r="K18" s="8">
        <v>0</v>
      </c>
      <c r="L18" s="410">
        <f t="shared" si="2"/>
        <v>22991</v>
      </c>
      <c r="M18" s="410">
        <f t="shared" si="3"/>
        <v>5096925</v>
      </c>
      <c r="N18" s="410">
        <f t="shared" si="0"/>
        <v>35550</v>
      </c>
      <c r="O18" s="410">
        <f t="shared" si="4"/>
        <v>53100</v>
      </c>
      <c r="P18" s="410">
        <f t="shared" si="0"/>
        <v>0</v>
      </c>
      <c r="Q18" s="410">
        <f t="shared" si="5"/>
        <v>5185575</v>
      </c>
      <c r="T18" s="347"/>
    </row>
    <row r="19" spans="1:20" ht="12.75">
      <c r="A19" s="201">
        <f t="shared" si="6"/>
        <v>9</v>
      </c>
      <c r="B19" s="201" t="s">
        <v>604</v>
      </c>
      <c r="C19" s="8">
        <v>15577</v>
      </c>
      <c r="D19" s="8">
        <v>664</v>
      </c>
      <c r="E19" s="8">
        <v>0</v>
      </c>
      <c r="F19" s="15">
        <v>25</v>
      </c>
      <c r="G19" s="15">
        <f t="shared" si="1"/>
        <v>16266</v>
      </c>
      <c r="H19" s="410">
        <v>13652</v>
      </c>
      <c r="I19" s="8">
        <v>613</v>
      </c>
      <c r="J19" s="8">
        <v>0</v>
      </c>
      <c r="K19" s="8">
        <v>20</v>
      </c>
      <c r="L19" s="410">
        <f t="shared" si="2"/>
        <v>14285</v>
      </c>
      <c r="M19" s="410">
        <f t="shared" si="3"/>
        <v>3071700</v>
      </c>
      <c r="N19" s="410">
        <f t="shared" si="0"/>
        <v>137925</v>
      </c>
      <c r="O19" s="410">
        <f t="shared" si="4"/>
        <v>0</v>
      </c>
      <c r="P19" s="410">
        <f t="shared" si="0"/>
        <v>4500</v>
      </c>
      <c r="Q19" s="410">
        <f t="shared" si="5"/>
        <v>3214125</v>
      </c>
      <c r="T19" s="347"/>
    </row>
    <row r="20" spans="1:20" ht="12.75">
      <c r="A20" s="201">
        <f t="shared" si="6"/>
        <v>10</v>
      </c>
      <c r="B20" s="201" t="s">
        <v>605</v>
      </c>
      <c r="C20" s="8">
        <v>26882</v>
      </c>
      <c r="D20" s="8">
        <v>1018</v>
      </c>
      <c r="E20" s="8">
        <v>205</v>
      </c>
      <c r="F20" s="15">
        <v>0</v>
      </c>
      <c r="G20" s="15">
        <f t="shared" si="1"/>
        <v>28105</v>
      </c>
      <c r="H20" s="410">
        <v>23951</v>
      </c>
      <c r="I20" s="8">
        <v>946</v>
      </c>
      <c r="J20" s="8">
        <v>188</v>
      </c>
      <c r="K20" s="8">
        <v>0</v>
      </c>
      <c r="L20" s="410">
        <f t="shared" si="2"/>
        <v>25085</v>
      </c>
      <c r="M20" s="410">
        <f t="shared" si="3"/>
        <v>5388975</v>
      </c>
      <c r="N20" s="410">
        <f t="shared" si="0"/>
        <v>212850</v>
      </c>
      <c r="O20" s="410">
        <f t="shared" si="4"/>
        <v>55460</v>
      </c>
      <c r="P20" s="410">
        <f t="shared" si="0"/>
        <v>0</v>
      </c>
      <c r="Q20" s="410">
        <f t="shared" si="5"/>
        <v>5657285</v>
      </c>
      <c r="T20" s="347"/>
    </row>
    <row r="21" spans="1:20" ht="12.75">
      <c r="A21" s="201">
        <f t="shared" si="6"/>
        <v>11</v>
      </c>
      <c r="B21" s="201" t="s">
        <v>635</v>
      </c>
      <c r="C21" s="8">
        <v>11627</v>
      </c>
      <c r="D21" s="8">
        <v>393</v>
      </c>
      <c r="E21" s="8">
        <v>0</v>
      </c>
      <c r="F21" s="15">
        <v>39</v>
      </c>
      <c r="G21" s="15">
        <f t="shared" si="1"/>
        <v>12059</v>
      </c>
      <c r="H21" s="410">
        <v>9972</v>
      </c>
      <c r="I21" s="8">
        <v>362</v>
      </c>
      <c r="J21" s="8">
        <v>0</v>
      </c>
      <c r="K21" s="8">
        <v>30</v>
      </c>
      <c r="L21" s="410">
        <f t="shared" si="2"/>
        <v>10364</v>
      </c>
      <c r="M21" s="410">
        <f t="shared" si="3"/>
        <v>2243700</v>
      </c>
      <c r="N21" s="410">
        <f t="shared" si="0"/>
        <v>81450</v>
      </c>
      <c r="O21" s="410">
        <f t="shared" si="4"/>
        <v>0</v>
      </c>
      <c r="P21" s="410">
        <f t="shared" si="0"/>
        <v>6750</v>
      </c>
      <c r="Q21" s="410">
        <f t="shared" si="5"/>
        <v>2331900</v>
      </c>
      <c r="T21" s="347"/>
    </row>
    <row r="22" spans="1:20" ht="12.75">
      <c r="A22" s="201">
        <f t="shared" si="6"/>
        <v>12</v>
      </c>
      <c r="B22" s="201" t="s">
        <v>606</v>
      </c>
      <c r="C22" s="8">
        <v>15454</v>
      </c>
      <c r="D22" s="8">
        <v>47</v>
      </c>
      <c r="E22" s="8">
        <v>185</v>
      </c>
      <c r="F22" s="15">
        <v>26</v>
      </c>
      <c r="G22" s="15">
        <f t="shared" si="1"/>
        <v>15712</v>
      </c>
      <c r="H22" s="410">
        <v>13354</v>
      </c>
      <c r="I22" s="8">
        <v>47</v>
      </c>
      <c r="J22" s="8">
        <v>172</v>
      </c>
      <c r="K22" s="8">
        <v>21</v>
      </c>
      <c r="L22" s="410">
        <f t="shared" si="2"/>
        <v>13594</v>
      </c>
      <c r="M22" s="410">
        <f t="shared" si="3"/>
        <v>3004650</v>
      </c>
      <c r="N22" s="410">
        <f t="shared" si="0"/>
        <v>10575</v>
      </c>
      <c r="O22" s="410">
        <f t="shared" si="4"/>
        <v>50740</v>
      </c>
      <c r="P22" s="410">
        <f t="shared" si="0"/>
        <v>4725</v>
      </c>
      <c r="Q22" s="410">
        <f t="shared" si="5"/>
        <v>3070690</v>
      </c>
      <c r="T22" s="347"/>
    </row>
    <row r="23" spans="1:20" ht="12.75">
      <c r="A23" s="201">
        <f t="shared" si="6"/>
        <v>13</v>
      </c>
      <c r="B23" s="201" t="s">
        <v>607</v>
      </c>
      <c r="C23" s="8">
        <v>43847</v>
      </c>
      <c r="D23" s="8">
        <v>1109</v>
      </c>
      <c r="E23" s="8">
        <v>925</v>
      </c>
      <c r="F23" s="15">
        <v>153</v>
      </c>
      <c r="G23" s="15">
        <f t="shared" si="1"/>
        <v>46034</v>
      </c>
      <c r="H23" s="410">
        <v>39253</v>
      </c>
      <c r="I23" s="8">
        <v>1011</v>
      </c>
      <c r="J23" s="8">
        <v>910</v>
      </c>
      <c r="K23" s="8">
        <v>132</v>
      </c>
      <c r="L23" s="410">
        <f t="shared" si="2"/>
        <v>41306</v>
      </c>
      <c r="M23" s="410">
        <f t="shared" si="3"/>
        <v>8831925</v>
      </c>
      <c r="N23" s="410">
        <f t="shared" si="0"/>
        <v>227475</v>
      </c>
      <c r="O23" s="410">
        <f t="shared" si="4"/>
        <v>268450</v>
      </c>
      <c r="P23" s="410">
        <f t="shared" si="0"/>
        <v>29700</v>
      </c>
      <c r="Q23" s="410">
        <f t="shared" si="5"/>
        <v>9357550</v>
      </c>
      <c r="T23" s="347"/>
    </row>
    <row r="24" spans="1:20" ht="12.75">
      <c r="A24" s="201">
        <f t="shared" si="6"/>
        <v>14</v>
      </c>
      <c r="B24" s="201" t="s">
        <v>636</v>
      </c>
      <c r="C24" s="8">
        <v>16133</v>
      </c>
      <c r="D24" s="8">
        <v>1352</v>
      </c>
      <c r="E24" s="8">
        <v>0</v>
      </c>
      <c r="F24" s="15">
        <v>0</v>
      </c>
      <c r="G24" s="15">
        <f t="shared" si="1"/>
        <v>17485</v>
      </c>
      <c r="H24" s="410">
        <v>13852</v>
      </c>
      <c r="I24" s="8">
        <v>1196</v>
      </c>
      <c r="J24" s="8">
        <v>0</v>
      </c>
      <c r="K24" s="8">
        <v>0</v>
      </c>
      <c r="L24" s="410">
        <f t="shared" si="2"/>
        <v>15048</v>
      </c>
      <c r="M24" s="410">
        <f t="shared" si="3"/>
        <v>3116700</v>
      </c>
      <c r="N24" s="410">
        <f t="shared" si="0"/>
        <v>269100</v>
      </c>
      <c r="O24" s="410">
        <f t="shared" si="4"/>
        <v>0</v>
      </c>
      <c r="P24" s="410">
        <f t="shared" si="0"/>
        <v>0</v>
      </c>
      <c r="Q24" s="410">
        <f t="shared" si="5"/>
        <v>3385800</v>
      </c>
      <c r="T24" s="347"/>
    </row>
    <row r="25" spans="1:20" ht="12.75">
      <c r="A25" s="201">
        <f t="shared" si="6"/>
        <v>15</v>
      </c>
      <c r="B25" s="201" t="s">
        <v>608</v>
      </c>
      <c r="C25" s="8">
        <v>26219</v>
      </c>
      <c r="D25" s="8">
        <v>90</v>
      </c>
      <c r="E25" s="8">
        <v>0</v>
      </c>
      <c r="F25" s="15">
        <v>0</v>
      </c>
      <c r="G25" s="15">
        <f t="shared" si="1"/>
        <v>26309</v>
      </c>
      <c r="H25" s="410">
        <v>23318</v>
      </c>
      <c r="I25" s="8">
        <v>85</v>
      </c>
      <c r="J25" s="8">
        <v>0</v>
      </c>
      <c r="K25" s="8">
        <v>0</v>
      </c>
      <c r="L25" s="410">
        <f t="shared" si="2"/>
        <v>23403</v>
      </c>
      <c r="M25" s="410">
        <f t="shared" si="3"/>
        <v>5246550</v>
      </c>
      <c r="N25" s="410">
        <f t="shared" si="0"/>
        <v>19125</v>
      </c>
      <c r="O25" s="410">
        <f t="shared" si="4"/>
        <v>0</v>
      </c>
      <c r="P25" s="410">
        <f t="shared" si="0"/>
        <v>0</v>
      </c>
      <c r="Q25" s="410">
        <f t="shared" si="5"/>
        <v>5265675</v>
      </c>
      <c r="T25" s="347"/>
    </row>
    <row r="26" spans="1:20" ht="12.75">
      <c r="A26" s="201">
        <f t="shared" si="6"/>
        <v>16</v>
      </c>
      <c r="B26" s="201" t="s">
        <v>609</v>
      </c>
      <c r="C26" s="8">
        <v>27087</v>
      </c>
      <c r="D26" s="8">
        <v>243</v>
      </c>
      <c r="E26" s="8">
        <v>0</v>
      </c>
      <c r="F26" s="15">
        <v>302</v>
      </c>
      <c r="G26" s="406">
        <f t="shared" si="1"/>
        <v>27632</v>
      </c>
      <c r="H26" s="410">
        <v>24352</v>
      </c>
      <c r="I26" s="407">
        <v>221</v>
      </c>
      <c r="J26" s="407">
        <v>0</v>
      </c>
      <c r="K26" s="407">
        <v>268</v>
      </c>
      <c r="L26" s="412">
        <f t="shared" si="2"/>
        <v>24841</v>
      </c>
      <c r="M26" s="410">
        <f t="shared" si="3"/>
        <v>5479200</v>
      </c>
      <c r="N26" s="410">
        <f t="shared" si="0"/>
        <v>49725</v>
      </c>
      <c r="O26" s="410">
        <f t="shared" si="4"/>
        <v>0</v>
      </c>
      <c r="P26" s="410">
        <f t="shared" si="0"/>
        <v>60300</v>
      </c>
      <c r="Q26" s="412">
        <f t="shared" si="5"/>
        <v>5589225</v>
      </c>
      <c r="T26" s="347"/>
    </row>
    <row r="27" spans="1:20" ht="12.75">
      <c r="A27" s="201">
        <f t="shared" si="6"/>
        <v>17</v>
      </c>
      <c r="B27" s="201" t="s">
        <v>610</v>
      </c>
      <c r="C27" s="8">
        <v>21526</v>
      </c>
      <c r="D27" s="8">
        <v>310</v>
      </c>
      <c r="E27" s="8">
        <v>25</v>
      </c>
      <c r="F27" s="15">
        <v>0</v>
      </c>
      <c r="G27" s="406">
        <f t="shared" si="1"/>
        <v>21861</v>
      </c>
      <c r="H27" s="410">
        <v>18963</v>
      </c>
      <c r="I27" s="407">
        <v>286</v>
      </c>
      <c r="J27" s="407">
        <v>25</v>
      </c>
      <c r="K27" s="407">
        <v>0</v>
      </c>
      <c r="L27" s="412">
        <f t="shared" si="2"/>
        <v>19274</v>
      </c>
      <c r="M27" s="410">
        <f t="shared" si="3"/>
        <v>4266675</v>
      </c>
      <c r="N27" s="410">
        <f t="shared" si="0"/>
        <v>64350</v>
      </c>
      <c r="O27" s="410">
        <f t="shared" si="4"/>
        <v>7375</v>
      </c>
      <c r="P27" s="410">
        <f t="shared" si="0"/>
        <v>0</v>
      </c>
      <c r="Q27" s="412">
        <f t="shared" si="5"/>
        <v>4338400</v>
      </c>
      <c r="T27" s="347"/>
    </row>
    <row r="28" spans="1:20" ht="12.75">
      <c r="A28" s="201">
        <f t="shared" si="6"/>
        <v>18</v>
      </c>
      <c r="B28" s="201" t="s">
        <v>611</v>
      </c>
      <c r="C28" s="8">
        <v>32237</v>
      </c>
      <c r="D28" s="8">
        <v>2513</v>
      </c>
      <c r="E28" s="8">
        <v>0</v>
      </c>
      <c r="F28" s="15">
        <v>75</v>
      </c>
      <c r="G28" s="15">
        <f t="shared" si="1"/>
        <v>34825</v>
      </c>
      <c r="H28" s="410">
        <v>28912</v>
      </c>
      <c r="I28" s="8">
        <v>2362</v>
      </c>
      <c r="J28" s="8">
        <v>0</v>
      </c>
      <c r="K28" s="8">
        <v>68</v>
      </c>
      <c r="L28" s="410">
        <f t="shared" si="2"/>
        <v>31342</v>
      </c>
      <c r="M28" s="410">
        <f t="shared" si="3"/>
        <v>6505200</v>
      </c>
      <c r="N28" s="410">
        <f t="shared" si="0"/>
        <v>531450</v>
      </c>
      <c r="O28" s="410">
        <f t="shared" si="4"/>
        <v>0</v>
      </c>
      <c r="P28" s="410">
        <f t="shared" si="0"/>
        <v>15300</v>
      </c>
      <c r="Q28" s="410">
        <f t="shared" si="5"/>
        <v>7051950</v>
      </c>
      <c r="T28" s="347"/>
    </row>
    <row r="29" spans="1:20" ht="12.75">
      <c r="A29" s="201">
        <f t="shared" si="6"/>
        <v>19</v>
      </c>
      <c r="B29" s="201" t="s">
        <v>637</v>
      </c>
      <c r="C29" s="8">
        <v>15674</v>
      </c>
      <c r="D29" s="8">
        <v>135</v>
      </c>
      <c r="E29" s="8">
        <v>0</v>
      </c>
      <c r="F29" s="15">
        <v>375</v>
      </c>
      <c r="G29" s="15">
        <f t="shared" si="1"/>
        <v>16184</v>
      </c>
      <c r="H29" s="410">
        <v>13645</v>
      </c>
      <c r="I29" s="8">
        <v>122</v>
      </c>
      <c r="J29" s="8">
        <v>0</v>
      </c>
      <c r="K29" s="8">
        <v>351</v>
      </c>
      <c r="L29" s="410">
        <f t="shared" si="2"/>
        <v>14118</v>
      </c>
      <c r="M29" s="410">
        <f t="shared" si="3"/>
        <v>3070125</v>
      </c>
      <c r="N29" s="410">
        <f t="shared" si="0"/>
        <v>27450</v>
      </c>
      <c r="O29" s="410">
        <f t="shared" si="4"/>
        <v>0</v>
      </c>
      <c r="P29" s="410">
        <f t="shared" si="0"/>
        <v>78975</v>
      </c>
      <c r="Q29" s="410">
        <f t="shared" si="5"/>
        <v>3176550</v>
      </c>
      <c r="T29" s="347"/>
    </row>
    <row r="30" spans="1:20" ht="12.75">
      <c r="A30" s="201">
        <f t="shared" si="6"/>
        <v>20</v>
      </c>
      <c r="B30" s="201" t="s">
        <v>612</v>
      </c>
      <c r="C30" s="8">
        <v>31787</v>
      </c>
      <c r="D30" s="8">
        <v>2711</v>
      </c>
      <c r="E30" s="8">
        <v>349</v>
      </c>
      <c r="F30" s="15">
        <v>0</v>
      </c>
      <c r="G30" s="15">
        <f t="shared" si="1"/>
        <v>34847</v>
      </c>
      <c r="H30" s="410">
        <v>27965</v>
      </c>
      <c r="I30" s="8">
        <v>2512</v>
      </c>
      <c r="J30" s="8">
        <v>336</v>
      </c>
      <c r="K30" s="8">
        <v>0</v>
      </c>
      <c r="L30" s="410">
        <f t="shared" si="2"/>
        <v>30813</v>
      </c>
      <c r="M30" s="410">
        <f t="shared" si="3"/>
        <v>6292125</v>
      </c>
      <c r="N30" s="410">
        <f t="shared" si="0"/>
        <v>565200</v>
      </c>
      <c r="O30" s="410">
        <f t="shared" si="4"/>
        <v>99120</v>
      </c>
      <c r="P30" s="410">
        <f t="shared" si="0"/>
        <v>0</v>
      </c>
      <c r="Q30" s="410">
        <f t="shared" si="5"/>
        <v>6956445</v>
      </c>
      <c r="T30" s="347"/>
    </row>
    <row r="31" spans="1:20" ht="12.75">
      <c r="A31" s="201">
        <f t="shared" si="6"/>
        <v>21</v>
      </c>
      <c r="B31" s="201" t="s">
        <v>613</v>
      </c>
      <c r="C31" s="8">
        <v>12074</v>
      </c>
      <c r="D31" s="8">
        <v>311</v>
      </c>
      <c r="E31" s="8">
        <v>0</v>
      </c>
      <c r="F31" s="15">
        <v>56</v>
      </c>
      <c r="G31" s="15">
        <f t="shared" si="1"/>
        <v>12441</v>
      </c>
      <c r="H31" s="410">
        <v>10184</v>
      </c>
      <c r="I31" s="8">
        <v>276</v>
      </c>
      <c r="J31" s="8">
        <v>0</v>
      </c>
      <c r="K31" s="8">
        <v>46</v>
      </c>
      <c r="L31" s="410">
        <f t="shared" si="2"/>
        <v>10506</v>
      </c>
      <c r="M31" s="410">
        <f t="shared" si="3"/>
        <v>2291400</v>
      </c>
      <c r="N31" s="410">
        <f t="shared" si="0"/>
        <v>62100</v>
      </c>
      <c r="O31" s="410">
        <f t="shared" si="4"/>
        <v>0</v>
      </c>
      <c r="P31" s="410">
        <f t="shared" si="0"/>
        <v>10350</v>
      </c>
      <c r="Q31" s="410">
        <f t="shared" si="5"/>
        <v>2363850</v>
      </c>
      <c r="T31" s="347"/>
    </row>
    <row r="32" spans="1:20" ht="12.75">
      <c r="A32" s="201">
        <f t="shared" si="6"/>
        <v>22</v>
      </c>
      <c r="B32" s="201" t="s">
        <v>614</v>
      </c>
      <c r="C32" s="8">
        <v>10961</v>
      </c>
      <c r="D32" s="8">
        <v>59</v>
      </c>
      <c r="E32" s="8">
        <v>0</v>
      </c>
      <c r="F32" s="15">
        <v>0</v>
      </c>
      <c r="G32" s="15">
        <f t="shared" si="1"/>
        <v>11020</v>
      </c>
      <c r="H32" s="410">
        <v>9603</v>
      </c>
      <c r="I32" s="8">
        <v>55</v>
      </c>
      <c r="J32" s="8">
        <v>0</v>
      </c>
      <c r="K32" s="8">
        <v>0</v>
      </c>
      <c r="L32" s="410">
        <f t="shared" si="2"/>
        <v>9658</v>
      </c>
      <c r="M32" s="410">
        <f t="shared" si="3"/>
        <v>2160675</v>
      </c>
      <c r="N32" s="410">
        <f t="shared" si="0"/>
        <v>12375</v>
      </c>
      <c r="O32" s="410">
        <f t="shared" si="4"/>
        <v>0</v>
      </c>
      <c r="P32" s="410">
        <f t="shared" si="0"/>
        <v>0</v>
      </c>
      <c r="Q32" s="410">
        <f t="shared" si="5"/>
        <v>2173050</v>
      </c>
      <c r="T32" s="347"/>
    </row>
    <row r="33" spans="1:20" ht="12.75">
      <c r="A33" s="201">
        <f t="shared" si="6"/>
        <v>23</v>
      </c>
      <c r="B33" s="201" t="s">
        <v>615</v>
      </c>
      <c r="C33" s="8">
        <v>48604</v>
      </c>
      <c r="D33" s="8">
        <v>717</v>
      </c>
      <c r="E33" s="8">
        <v>0</v>
      </c>
      <c r="F33" s="15">
        <v>437</v>
      </c>
      <c r="G33" s="15">
        <f t="shared" si="1"/>
        <v>49758</v>
      </c>
      <c r="H33" s="410">
        <v>43862</v>
      </c>
      <c r="I33" s="8">
        <v>682</v>
      </c>
      <c r="J33" s="8">
        <v>0</v>
      </c>
      <c r="K33" s="8">
        <v>416</v>
      </c>
      <c r="L33" s="410">
        <f t="shared" si="2"/>
        <v>44960</v>
      </c>
      <c r="M33" s="410">
        <f t="shared" si="3"/>
        <v>9868950</v>
      </c>
      <c r="N33" s="410">
        <f t="shared" si="0"/>
        <v>153450</v>
      </c>
      <c r="O33" s="410">
        <f t="shared" si="4"/>
        <v>0</v>
      </c>
      <c r="P33" s="410">
        <f t="shared" si="0"/>
        <v>93600</v>
      </c>
      <c r="Q33" s="410">
        <f t="shared" si="5"/>
        <v>10116000</v>
      </c>
      <c r="T33" s="347"/>
    </row>
    <row r="34" spans="1:20" ht="12.75">
      <c r="A34" s="201">
        <f t="shared" si="6"/>
        <v>24</v>
      </c>
      <c r="B34" s="201" t="s">
        <v>616</v>
      </c>
      <c r="C34" s="8">
        <v>37093</v>
      </c>
      <c r="D34" s="8">
        <v>395</v>
      </c>
      <c r="E34" s="8">
        <v>0</v>
      </c>
      <c r="F34" s="15">
        <v>0</v>
      </c>
      <c r="G34" s="15">
        <f t="shared" si="1"/>
        <v>37488</v>
      </c>
      <c r="H34" s="410">
        <v>32689</v>
      </c>
      <c r="I34" s="8">
        <v>360</v>
      </c>
      <c r="J34" s="8">
        <v>0</v>
      </c>
      <c r="K34" s="8">
        <v>0</v>
      </c>
      <c r="L34" s="410">
        <f t="shared" si="2"/>
        <v>33049</v>
      </c>
      <c r="M34" s="410">
        <f t="shared" si="3"/>
        <v>7355025</v>
      </c>
      <c r="N34" s="410">
        <f t="shared" si="0"/>
        <v>81000</v>
      </c>
      <c r="O34" s="410">
        <f t="shared" si="4"/>
        <v>0</v>
      </c>
      <c r="P34" s="410">
        <f t="shared" si="0"/>
        <v>0</v>
      </c>
      <c r="Q34" s="410">
        <f t="shared" si="5"/>
        <v>7436025</v>
      </c>
      <c r="T34" s="347"/>
    </row>
    <row r="35" spans="1:20" ht="12.75">
      <c r="A35" s="201">
        <f t="shared" si="6"/>
        <v>25</v>
      </c>
      <c r="B35" s="201" t="s">
        <v>617</v>
      </c>
      <c r="C35" s="8">
        <v>28421</v>
      </c>
      <c r="D35" s="8">
        <v>83</v>
      </c>
      <c r="E35" s="8">
        <v>0</v>
      </c>
      <c r="F35" s="15">
        <v>60</v>
      </c>
      <c r="G35" s="15">
        <f t="shared" si="1"/>
        <v>28564</v>
      </c>
      <c r="H35" s="410">
        <v>24964</v>
      </c>
      <c r="I35" s="8">
        <v>76</v>
      </c>
      <c r="J35" s="8">
        <v>0</v>
      </c>
      <c r="K35" s="8">
        <v>51</v>
      </c>
      <c r="L35" s="410">
        <f t="shared" si="2"/>
        <v>25091</v>
      </c>
      <c r="M35" s="410">
        <f t="shared" si="3"/>
        <v>5616900</v>
      </c>
      <c r="N35" s="410">
        <f t="shared" si="0"/>
        <v>17100</v>
      </c>
      <c r="O35" s="410">
        <f t="shared" si="4"/>
        <v>0</v>
      </c>
      <c r="P35" s="410">
        <f t="shared" si="0"/>
        <v>11475</v>
      </c>
      <c r="Q35" s="410">
        <f t="shared" si="5"/>
        <v>5645475</v>
      </c>
      <c r="T35" s="347"/>
    </row>
    <row r="36" spans="1:20" ht="12.75">
      <c r="A36" s="201">
        <f t="shared" si="6"/>
        <v>26</v>
      </c>
      <c r="B36" s="201" t="s">
        <v>618</v>
      </c>
      <c r="C36" s="8">
        <v>19548</v>
      </c>
      <c r="D36" s="8">
        <v>934</v>
      </c>
      <c r="E36" s="8">
        <v>0</v>
      </c>
      <c r="F36" s="15">
        <v>68</v>
      </c>
      <c r="G36" s="15">
        <f t="shared" si="1"/>
        <v>20550</v>
      </c>
      <c r="H36" s="410">
        <v>17944</v>
      </c>
      <c r="I36" s="8">
        <v>840</v>
      </c>
      <c r="J36" s="8">
        <v>0</v>
      </c>
      <c r="K36" s="8">
        <v>53</v>
      </c>
      <c r="L36" s="410">
        <f t="shared" si="2"/>
        <v>18837</v>
      </c>
      <c r="M36" s="410">
        <f t="shared" si="3"/>
        <v>4037400</v>
      </c>
      <c r="N36" s="410">
        <f t="shared" si="0"/>
        <v>189000</v>
      </c>
      <c r="O36" s="410">
        <f t="shared" si="4"/>
        <v>0</v>
      </c>
      <c r="P36" s="410">
        <f t="shared" si="0"/>
        <v>11925</v>
      </c>
      <c r="Q36" s="410">
        <f t="shared" si="5"/>
        <v>4238325</v>
      </c>
      <c r="T36" s="347"/>
    </row>
    <row r="37" spans="1:20" ht="12.75">
      <c r="A37" s="201">
        <f t="shared" si="6"/>
        <v>27</v>
      </c>
      <c r="B37" s="201" t="s">
        <v>619</v>
      </c>
      <c r="C37" s="8">
        <v>29705</v>
      </c>
      <c r="D37" s="8">
        <v>1213</v>
      </c>
      <c r="E37" s="8">
        <v>0</v>
      </c>
      <c r="F37" s="15">
        <v>30</v>
      </c>
      <c r="G37" s="15">
        <f t="shared" si="1"/>
        <v>30948</v>
      </c>
      <c r="H37" s="410">
        <v>26946</v>
      </c>
      <c r="I37" s="8">
        <v>989</v>
      </c>
      <c r="J37" s="8">
        <v>0</v>
      </c>
      <c r="K37" s="8">
        <v>26</v>
      </c>
      <c r="L37" s="410">
        <f t="shared" si="2"/>
        <v>27961</v>
      </c>
      <c r="M37" s="410">
        <f t="shared" si="3"/>
        <v>6062850</v>
      </c>
      <c r="N37" s="410">
        <f t="shared" si="0"/>
        <v>222525</v>
      </c>
      <c r="O37" s="410">
        <f t="shared" si="4"/>
        <v>0</v>
      </c>
      <c r="P37" s="410">
        <f t="shared" si="0"/>
        <v>5850</v>
      </c>
      <c r="Q37" s="410">
        <f t="shared" si="5"/>
        <v>6291225</v>
      </c>
      <c r="T37" s="347"/>
    </row>
    <row r="38" spans="1:20" ht="12.75">
      <c r="A38" s="201">
        <f t="shared" si="6"/>
        <v>28</v>
      </c>
      <c r="B38" s="143" t="s">
        <v>620</v>
      </c>
      <c r="C38" s="8">
        <v>15071</v>
      </c>
      <c r="D38" s="8">
        <v>16</v>
      </c>
      <c r="E38" s="8">
        <v>0</v>
      </c>
      <c r="F38" s="15">
        <v>0</v>
      </c>
      <c r="G38" s="15">
        <f t="shared" si="1"/>
        <v>15087</v>
      </c>
      <c r="H38" s="410">
        <v>12936</v>
      </c>
      <c r="I38" s="8">
        <v>15</v>
      </c>
      <c r="J38" s="8">
        <v>0</v>
      </c>
      <c r="K38" s="8">
        <v>0</v>
      </c>
      <c r="L38" s="410">
        <f t="shared" si="2"/>
        <v>12951</v>
      </c>
      <c r="M38" s="410">
        <f t="shared" si="3"/>
        <v>2910600</v>
      </c>
      <c r="N38" s="410">
        <f t="shared" si="0"/>
        <v>3375</v>
      </c>
      <c r="O38" s="410">
        <f t="shared" si="4"/>
        <v>0</v>
      </c>
      <c r="P38" s="410">
        <f t="shared" si="0"/>
        <v>0</v>
      </c>
      <c r="Q38" s="410">
        <f t="shared" si="5"/>
        <v>2913975</v>
      </c>
      <c r="T38" s="347"/>
    </row>
    <row r="39" spans="1:20" ht="12.75">
      <c r="A39" s="201">
        <f t="shared" si="6"/>
        <v>29</v>
      </c>
      <c r="B39" s="143" t="s">
        <v>621</v>
      </c>
      <c r="C39" s="8">
        <v>11305</v>
      </c>
      <c r="D39" s="8">
        <v>36</v>
      </c>
      <c r="E39" s="8">
        <v>0</v>
      </c>
      <c r="F39" s="15">
        <v>0</v>
      </c>
      <c r="G39" s="15">
        <f t="shared" si="1"/>
        <v>11341</v>
      </c>
      <c r="H39" s="410">
        <v>10022</v>
      </c>
      <c r="I39" s="8">
        <v>34</v>
      </c>
      <c r="J39" s="8">
        <v>0</v>
      </c>
      <c r="K39" s="8">
        <v>0</v>
      </c>
      <c r="L39" s="410">
        <f t="shared" si="2"/>
        <v>10056</v>
      </c>
      <c r="M39" s="410">
        <f t="shared" si="3"/>
        <v>2254950</v>
      </c>
      <c r="N39" s="410">
        <f t="shared" si="0"/>
        <v>7650</v>
      </c>
      <c r="O39" s="410">
        <f t="shared" si="4"/>
        <v>0</v>
      </c>
      <c r="P39" s="410">
        <f t="shared" si="0"/>
        <v>0</v>
      </c>
      <c r="Q39" s="410">
        <f t="shared" si="5"/>
        <v>2262600</v>
      </c>
      <c r="T39" s="347"/>
    </row>
    <row r="40" spans="1:20" ht="12.75">
      <c r="A40" s="201">
        <f t="shared" si="6"/>
        <v>30</v>
      </c>
      <c r="B40" s="143" t="s">
        <v>622</v>
      </c>
      <c r="C40" s="8">
        <v>13541</v>
      </c>
      <c r="D40" s="8">
        <v>1276</v>
      </c>
      <c r="E40" s="8">
        <v>0</v>
      </c>
      <c r="F40" s="15">
        <v>43</v>
      </c>
      <c r="G40" s="15">
        <f t="shared" si="1"/>
        <v>14860</v>
      </c>
      <c r="H40" s="410">
        <v>12165</v>
      </c>
      <c r="I40" s="8">
        <v>1115</v>
      </c>
      <c r="J40" s="8">
        <v>0</v>
      </c>
      <c r="K40" s="8">
        <v>37</v>
      </c>
      <c r="L40" s="410">
        <f t="shared" si="2"/>
        <v>13317</v>
      </c>
      <c r="M40" s="410">
        <f t="shared" si="3"/>
        <v>2737125</v>
      </c>
      <c r="N40" s="410">
        <f t="shared" si="0"/>
        <v>250875</v>
      </c>
      <c r="O40" s="410">
        <f t="shared" si="4"/>
        <v>0</v>
      </c>
      <c r="P40" s="410">
        <f t="shared" si="0"/>
        <v>8325</v>
      </c>
      <c r="Q40" s="410">
        <f t="shared" si="5"/>
        <v>2996325</v>
      </c>
      <c r="T40" s="347"/>
    </row>
    <row r="41" spans="1:20" ht="12.75">
      <c r="A41" s="201">
        <f t="shared" si="6"/>
        <v>31</v>
      </c>
      <c r="B41" s="143" t="s">
        <v>623</v>
      </c>
      <c r="C41" s="8">
        <v>17100</v>
      </c>
      <c r="D41" s="8">
        <v>58</v>
      </c>
      <c r="E41" s="8">
        <v>0</v>
      </c>
      <c r="F41" s="15">
        <v>42</v>
      </c>
      <c r="G41" s="15">
        <f t="shared" si="1"/>
        <v>17200</v>
      </c>
      <c r="H41" s="410">
        <v>14652</v>
      </c>
      <c r="I41" s="8">
        <v>52</v>
      </c>
      <c r="J41" s="8">
        <v>0</v>
      </c>
      <c r="K41" s="8">
        <v>36</v>
      </c>
      <c r="L41" s="410">
        <f t="shared" si="2"/>
        <v>14740</v>
      </c>
      <c r="M41" s="410">
        <f t="shared" si="3"/>
        <v>3296700</v>
      </c>
      <c r="N41" s="410">
        <f t="shared" si="0"/>
        <v>11700</v>
      </c>
      <c r="O41" s="410">
        <f t="shared" si="4"/>
        <v>0</v>
      </c>
      <c r="P41" s="410">
        <f t="shared" si="0"/>
        <v>8100</v>
      </c>
      <c r="Q41" s="410">
        <f t="shared" si="5"/>
        <v>3316500</v>
      </c>
      <c r="T41" s="347"/>
    </row>
    <row r="42" spans="1:17" s="5" customFormat="1" ht="12.75">
      <c r="A42" s="150"/>
      <c r="B42" s="150" t="s">
        <v>624</v>
      </c>
      <c r="C42" s="17">
        <f>SUM(C11:C41)</f>
        <v>685322</v>
      </c>
      <c r="D42" s="17">
        <f aca="true" t="shared" si="7" ref="D42:P42">SUM(D11:D41)</f>
        <v>30757</v>
      </c>
      <c r="E42" s="17">
        <f t="shared" si="7"/>
        <v>2335</v>
      </c>
      <c r="F42" s="17">
        <f t="shared" si="7"/>
        <v>2305</v>
      </c>
      <c r="G42" s="17">
        <f t="shared" si="7"/>
        <v>720719</v>
      </c>
      <c r="H42" s="17">
        <f t="shared" si="7"/>
        <v>606966</v>
      </c>
      <c r="I42" s="17">
        <f t="shared" si="7"/>
        <v>26320</v>
      </c>
      <c r="J42" s="17">
        <f t="shared" si="7"/>
        <v>2214</v>
      </c>
      <c r="K42" s="17">
        <f t="shared" si="7"/>
        <v>2065</v>
      </c>
      <c r="L42" s="346">
        <f t="shared" si="7"/>
        <v>637565</v>
      </c>
      <c r="M42" s="346">
        <f t="shared" si="7"/>
        <v>136567350</v>
      </c>
      <c r="N42" s="346">
        <f t="shared" si="7"/>
        <v>5922000</v>
      </c>
      <c r="O42" s="346">
        <f t="shared" si="7"/>
        <v>653130</v>
      </c>
      <c r="P42" s="346">
        <f t="shared" si="7"/>
        <v>464625</v>
      </c>
      <c r="Q42" s="346">
        <f>SUM(Q11:Q41)</f>
        <v>143607105</v>
      </c>
    </row>
    <row r="43" spans="1:17" ht="12.75">
      <c r="A43" s="34"/>
      <c r="B43" s="10"/>
      <c r="C43" s="10"/>
      <c r="D43" s="10"/>
      <c r="E43" s="10"/>
      <c r="F43" s="359"/>
      <c r="G43" s="359"/>
      <c r="H43" s="359"/>
      <c r="I43" s="359"/>
      <c r="J43" s="359"/>
      <c r="K43" s="411"/>
      <c r="L43" s="423"/>
      <c r="M43" s="359"/>
      <c r="N43" s="359"/>
      <c r="O43" s="359"/>
      <c r="P43" s="359"/>
      <c r="Q43" s="359"/>
    </row>
    <row r="44" ht="12.75">
      <c r="A44" s="9" t="s">
        <v>8</v>
      </c>
    </row>
    <row r="45" ht="12.75">
      <c r="A45" s="6" t="s">
        <v>9</v>
      </c>
    </row>
    <row r="46" spans="1:12" ht="12.75">
      <c r="A46" s="6" t="s">
        <v>10</v>
      </c>
      <c r="I46" s="3"/>
      <c r="J46" s="3"/>
      <c r="K46" s="3"/>
      <c r="L46" s="3"/>
    </row>
    <row r="47" spans="1:12" ht="12.75">
      <c r="A47" s="6" t="s">
        <v>421</v>
      </c>
      <c r="J47" s="3"/>
      <c r="K47" s="3"/>
      <c r="L47" s="3"/>
    </row>
    <row r="48" spans="3:13" ht="12.75">
      <c r="C48" s="6" t="s">
        <v>423</v>
      </c>
      <c r="E48" s="10"/>
      <c r="F48" s="10"/>
      <c r="G48" s="10"/>
      <c r="H48" s="10"/>
      <c r="I48" s="10"/>
      <c r="J48" s="10"/>
      <c r="K48" s="10"/>
      <c r="L48" s="10"/>
      <c r="M48" s="10"/>
    </row>
    <row r="50" spans="1:12" ht="12.75">
      <c r="A50" s="644"/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</row>
    <row r="52" spans="12:17" ht="15.75">
      <c r="L52" s="621" t="s">
        <v>860</v>
      </c>
      <c r="M52" s="621"/>
      <c r="N52" s="621"/>
      <c r="O52" s="621"/>
      <c r="P52" s="621"/>
      <c r="Q52" s="621"/>
    </row>
    <row r="53" spans="12:17" ht="15.75">
      <c r="L53" s="621" t="s">
        <v>653</v>
      </c>
      <c r="M53" s="621"/>
      <c r="N53" s="621"/>
      <c r="O53" s="621"/>
      <c r="P53" s="621"/>
      <c r="Q53" s="621"/>
    </row>
  </sheetData>
  <sheetProtection/>
  <mergeCells count="13">
    <mergeCell ref="A3:Q3"/>
    <mergeCell ref="A5:Q5"/>
    <mergeCell ref="N7:Q7"/>
    <mergeCell ref="L52:Q52"/>
    <mergeCell ref="L53:Q53"/>
    <mergeCell ref="A50:L50"/>
    <mergeCell ref="O1:Q1"/>
    <mergeCell ref="M8:Q8"/>
    <mergeCell ref="A8:A9"/>
    <mergeCell ref="B8:B9"/>
    <mergeCell ref="C8:G8"/>
    <mergeCell ref="H8:L8"/>
    <mergeCell ref="A2:Q2"/>
  </mergeCells>
  <printOptions horizontalCentered="1"/>
  <pageMargins left="0.38" right="0.44" top="0.42" bottom="0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8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6.00390625" style="6" customWidth="1"/>
    <col min="2" max="2" width="19.140625" style="6" customWidth="1"/>
    <col min="3" max="3" width="17.28125" style="6" customWidth="1"/>
    <col min="4" max="4" width="19.00390625" style="6" customWidth="1"/>
    <col min="5" max="5" width="19.7109375" style="6" customWidth="1"/>
    <col min="6" max="6" width="18.8515625" style="6" customWidth="1"/>
    <col min="7" max="7" width="15.28125" style="6" customWidth="1"/>
    <col min="8" max="16384" width="9.140625" style="6" customWidth="1"/>
  </cols>
  <sheetData>
    <row r="1" spans="1:7" ht="15.75">
      <c r="A1" s="562" t="s">
        <v>656</v>
      </c>
      <c r="B1" s="562"/>
      <c r="C1" s="562"/>
      <c r="D1" s="562"/>
      <c r="E1" s="562"/>
      <c r="F1" s="562"/>
      <c r="G1" s="199" t="s">
        <v>553</v>
      </c>
    </row>
    <row r="2" spans="1:7" ht="20.25">
      <c r="A2" s="563" t="s">
        <v>695</v>
      </c>
      <c r="B2" s="563"/>
      <c r="C2" s="563"/>
      <c r="D2" s="563"/>
      <c r="E2" s="563"/>
      <c r="F2" s="563"/>
      <c r="G2" s="563"/>
    </row>
    <row r="4" spans="1:7" ht="18" customHeight="1">
      <c r="A4" s="639" t="s">
        <v>554</v>
      </c>
      <c r="B4" s="639"/>
      <c r="C4" s="639"/>
      <c r="D4" s="639"/>
      <c r="E4" s="639"/>
      <c r="F4" s="639"/>
      <c r="G4" s="639"/>
    </row>
    <row r="5" spans="1:2" s="5" customFormat="1" ht="12.75">
      <c r="A5" s="21" t="s">
        <v>665</v>
      </c>
      <c r="B5" s="21"/>
    </row>
    <row r="6" spans="1:8" ht="12.75">
      <c r="A6" s="76"/>
      <c r="B6" s="76"/>
      <c r="F6" s="646" t="s">
        <v>750</v>
      </c>
      <c r="G6" s="646"/>
      <c r="H6" s="646"/>
    </row>
    <row r="7" spans="1:7" ht="42" customHeight="1">
      <c r="A7" s="122" t="s">
        <v>2</v>
      </c>
      <c r="B7" s="122" t="s">
        <v>3</v>
      </c>
      <c r="C7" s="184" t="s">
        <v>555</v>
      </c>
      <c r="D7" s="184" t="s">
        <v>556</v>
      </c>
      <c r="E7" s="184" t="s">
        <v>557</v>
      </c>
      <c r="F7" s="184" t="s">
        <v>558</v>
      </c>
      <c r="G7" s="178" t="s">
        <v>559</v>
      </c>
    </row>
    <row r="8" spans="1:7" s="199" customFormat="1" ht="14.2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</row>
    <row r="9" spans="1:7" ht="12.75">
      <c r="A9" s="201">
        <v>1</v>
      </c>
      <c r="B9" s="201" t="s">
        <v>633</v>
      </c>
      <c r="C9" s="129">
        <v>55898</v>
      </c>
      <c r="D9" s="355">
        <v>53550</v>
      </c>
      <c r="E9" s="356" t="s">
        <v>7</v>
      </c>
      <c r="F9" s="357">
        <v>2348</v>
      </c>
      <c r="G9" s="143" t="s">
        <v>7</v>
      </c>
    </row>
    <row r="10" spans="1:7" ht="12.75">
      <c r="A10" s="201">
        <f>A9+1</f>
        <v>2</v>
      </c>
      <c r="B10" s="201" t="s">
        <v>598</v>
      </c>
      <c r="C10" s="129">
        <v>58733</v>
      </c>
      <c r="D10" s="355">
        <v>56734</v>
      </c>
      <c r="E10" s="356" t="s">
        <v>7</v>
      </c>
      <c r="F10" s="357">
        <v>1999</v>
      </c>
      <c r="G10" s="143" t="s">
        <v>7</v>
      </c>
    </row>
    <row r="11" spans="1:7" ht="12.75">
      <c r="A11" s="201">
        <f aca="true" t="shared" si="0" ref="A11:A39">A10+1</f>
        <v>3</v>
      </c>
      <c r="B11" s="201" t="s">
        <v>634</v>
      </c>
      <c r="C11" s="129">
        <v>131383</v>
      </c>
      <c r="D11" s="355">
        <v>107994</v>
      </c>
      <c r="E11" s="356" t="s">
        <v>7</v>
      </c>
      <c r="F11" s="357">
        <v>23389</v>
      </c>
      <c r="G11" s="143" t="s">
        <v>7</v>
      </c>
    </row>
    <row r="12" spans="1:7" ht="12.75">
      <c r="A12" s="201">
        <f t="shared" si="0"/>
        <v>4</v>
      </c>
      <c r="B12" s="201" t="s">
        <v>599</v>
      </c>
      <c r="C12" s="251">
        <v>46042</v>
      </c>
      <c r="D12" s="251">
        <v>44949</v>
      </c>
      <c r="E12" s="356" t="s">
        <v>7</v>
      </c>
      <c r="F12" s="251">
        <v>1093</v>
      </c>
      <c r="G12" s="143" t="s">
        <v>7</v>
      </c>
    </row>
    <row r="13" spans="1:7" ht="12.75">
      <c r="A13" s="201">
        <f t="shared" si="0"/>
        <v>5</v>
      </c>
      <c r="B13" s="201" t="s">
        <v>600</v>
      </c>
      <c r="C13" s="251">
        <v>28542</v>
      </c>
      <c r="D13" s="251">
        <v>27767</v>
      </c>
      <c r="E13" s="356" t="s">
        <v>7</v>
      </c>
      <c r="F13" s="251">
        <v>775</v>
      </c>
      <c r="G13" s="143" t="s">
        <v>7</v>
      </c>
    </row>
    <row r="14" spans="1:7" ht="12.75">
      <c r="A14" s="201">
        <f t="shared" si="0"/>
        <v>6</v>
      </c>
      <c r="B14" s="201" t="s">
        <v>601</v>
      </c>
      <c r="C14" s="129">
        <v>33505</v>
      </c>
      <c r="D14" s="355">
        <v>31679</v>
      </c>
      <c r="E14" s="356" t="s">
        <v>7</v>
      </c>
      <c r="F14" s="357">
        <v>1826</v>
      </c>
      <c r="G14" s="143" t="s">
        <v>7</v>
      </c>
    </row>
    <row r="15" spans="1:7" ht="12.75">
      <c r="A15" s="201">
        <f t="shared" si="0"/>
        <v>7</v>
      </c>
      <c r="B15" s="201" t="s">
        <v>602</v>
      </c>
      <c r="C15" s="129">
        <v>52932</v>
      </c>
      <c r="D15" s="355">
        <v>50258</v>
      </c>
      <c r="E15" s="356" t="s">
        <v>7</v>
      </c>
      <c r="F15" s="357">
        <v>2674</v>
      </c>
      <c r="G15" s="143" t="s">
        <v>7</v>
      </c>
    </row>
    <row r="16" spans="1:7" ht="12.75">
      <c r="A16" s="201">
        <f t="shared" si="0"/>
        <v>8</v>
      </c>
      <c r="B16" s="201" t="s">
        <v>603</v>
      </c>
      <c r="C16" s="129">
        <v>68387</v>
      </c>
      <c r="D16" s="355">
        <v>66597</v>
      </c>
      <c r="E16" s="356" t="s">
        <v>7</v>
      </c>
      <c r="F16" s="357">
        <v>1790</v>
      </c>
      <c r="G16" s="143" t="s">
        <v>7</v>
      </c>
    </row>
    <row r="17" spans="1:7" ht="12.75">
      <c r="A17" s="201">
        <f t="shared" si="0"/>
        <v>9</v>
      </c>
      <c r="B17" s="201" t="s">
        <v>604</v>
      </c>
      <c r="C17" s="129">
        <v>33691</v>
      </c>
      <c r="D17" s="355">
        <v>32156</v>
      </c>
      <c r="E17" s="356" t="s">
        <v>7</v>
      </c>
      <c r="F17" s="357">
        <v>1535</v>
      </c>
      <c r="G17" s="143" t="s">
        <v>7</v>
      </c>
    </row>
    <row r="18" spans="1:7" ht="12.75">
      <c r="A18" s="201">
        <f t="shared" si="0"/>
        <v>10</v>
      </c>
      <c r="B18" s="201" t="s">
        <v>605</v>
      </c>
      <c r="C18" s="129">
        <v>70246</v>
      </c>
      <c r="D18" s="355">
        <v>68001</v>
      </c>
      <c r="E18" s="356" t="s">
        <v>7</v>
      </c>
      <c r="F18" s="357">
        <v>2245</v>
      </c>
      <c r="G18" s="143" t="s">
        <v>7</v>
      </c>
    </row>
    <row r="19" spans="1:7" ht="12.75">
      <c r="A19" s="201">
        <f t="shared" si="0"/>
        <v>11</v>
      </c>
      <c r="B19" s="201" t="s">
        <v>635</v>
      </c>
      <c r="C19" s="251">
        <v>39726</v>
      </c>
      <c r="D19" s="251">
        <v>37334</v>
      </c>
      <c r="E19" s="356" t="s">
        <v>7</v>
      </c>
      <c r="F19" s="251">
        <v>2392</v>
      </c>
      <c r="G19" s="143" t="s">
        <v>7</v>
      </c>
    </row>
    <row r="20" spans="1:7" ht="12.75">
      <c r="A20" s="201">
        <f t="shared" si="0"/>
        <v>12</v>
      </c>
      <c r="B20" s="201" t="s">
        <v>606</v>
      </c>
      <c r="C20" s="129">
        <v>40339</v>
      </c>
      <c r="D20" s="355">
        <v>38789</v>
      </c>
      <c r="E20" s="356" t="s">
        <v>7</v>
      </c>
      <c r="F20" s="357">
        <v>1550</v>
      </c>
      <c r="G20" s="143" t="s">
        <v>7</v>
      </c>
    </row>
    <row r="21" spans="1:7" ht="12.75">
      <c r="A21" s="201">
        <f t="shared" si="0"/>
        <v>13</v>
      </c>
      <c r="B21" s="201" t="s">
        <v>607</v>
      </c>
      <c r="C21" s="129">
        <v>114637</v>
      </c>
      <c r="D21" s="355">
        <v>108960</v>
      </c>
      <c r="E21" s="356" t="s">
        <v>7</v>
      </c>
      <c r="F21" s="357">
        <v>5677</v>
      </c>
      <c r="G21" s="143" t="s">
        <v>7</v>
      </c>
    </row>
    <row r="22" spans="1:7" ht="12.75">
      <c r="A22" s="201">
        <f t="shared" si="0"/>
        <v>14</v>
      </c>
      <c r="B22" s="201" t="s">
        <v>636</v>
      </c>
      <c r="C22" s="129">
        <v>36776</v>
      </c>
      <c r="D22" s="355">
        <v>35207</v>
      </c>
      <c r="E22" s="356" t="s">
        <v>7</v>
      </c>
      <c r="F22" s="357">
        <v>1569</v>
      </c>
      <c r="G22" s="143" t="s">
        <v>7</v>
      </c>
    </row>
    <row r="23" spans="1:7" ht="12.75">
      <c r="A23" s="201">
        <f t="shared" si="0"/>
        <v>15</v>
      </c>
      <c r="B23" s="201" t="s">
        <v>608</v>
      </c>
      <c r="C23" s="129">
        <v>63537</v>
      </c>
      <c r="D23" s="355">
        <v>61731</v>
      </c>
      <c r="E23" s="356" t="s">
        <v>7</v>
      </c>
      <c r="F23" s="357">
        <v>1806</v>
      </c>
      <c r="G23" s="143" t="s">
        <v>7</v>
      </c>
    </row>
    <row r="24" spans="1:7" ht="12.75">
      <c r="A24" s="201">
        <f t="shared" si="0"/>
        <v>16</v>
      </c>
      <c r="B24" s="201" t="s">
        <v>609</v>
      </c>
      <c r="C24" s="129">
        <v>66347</v>
      </c>
      <c r="D24" s="355">
        <v>59280</v>
      </c>
      <c r="E24" s="356" t="s">
        <v>7</v>
      </c>
      <c r="F24" s="357">
        <v>7067</v>
      </c>
      <c r="G24" s="143" t="s">
        <v>7</v>
      </c>
    </row>
    <row r="25" spans="1:7" ht="12.75">
      <c r="A25" s="201">
        <f t="shared" si="0"/>
        <v>17</v>
      </c>
      <c r="B25" s="201" t="s">
        <v>610</v>
      </c>
      <c r="C25" s="129">
        <v>51801</v>
      </c>
      <c r="D25" s="355">
        <v>49689</v>
      </c>
      <c r="E25" s="356" t="s">
        <v>7</v>
      </c>
      <c r="F25" s="357">
        <v>2112</v>
      </c>
      <c r="G25" s="143" t="s">
        <v>7</v>
      </c>
    </row>
    <row r="26" spans="1:7" ht="12.75">
      <c r="A26" s="201">
        <f t="shared" si="0"/>
        <v>18</v>
      </c>
      <c r="B26" s="201" t="s">
        <v>611</v>
      </c>
      <c r="C26" s="129">
        <v>83655</v>
      </c>
      <c r="D26" s="355">
        <v>80312</v>
      </c>
      <c r="E26" s="356" t="s">
        <v>7</v>
      </c>
      <c r="F26" s="357">
        <v>3343</v>
      </c>
      <c r="G26" s="143" t="s">
        <v>7</v>
      </c>
    </row>
    <row r="27" spans="1:7" ht="12.75">
      <c r="A27" s="201">
        <f t="shared" si="0"/>
        <v>19</v>
      </c>
      <c r="B27" s="201" t="s">
        <v>637</v>
      </c>
      <c r="C27" s="129">
        <v>41508</v>
      </c>
      <c r="D27" s="355">
        <v>39095</v>
      </c>
      <c r="E27" s="356" t="s">
        <v>7</v>
      </c>
      <c r="F27" s="357">
        <v>2413</v>
      </c>
      <c r="G27" s="143" t="s">
        <v>7</v>
      </c>
    </row>
    <row r="28" spans="1:7" ht="12.75">
      <c r="A28" s="201">
        <f t="shared" si="0"/>
        <v>20</v>
      </c>
      <c r="B28" s="201" t="s">
        <v>612</v>
      </c>
      <c r="C28" s="129">
        <v>85489</v>
      </c>
      <c r="D28" s="355">
        <v>81470</v>
      </c>
      <c r="E28" s="356" t="s">
        <v>7</v>
      </c>
      <c r="F28" s="357">
        <v>4019</v>
      </c>
      <c r="G28" s="143" t="s">
        <v>7</v>
      </c>
    </row>
    <row r="29" spans="1:7" ht="12.75">
      <c r="A29" s="201">
        <f t="shared" si="0"/>
        <v>21</v>
      </c>
      <c r="B29" s="201" t="s">
        <v>613</v>
      </c>
      <c r="C29" s="129">
        <v>25990</v>
      </c>
      <c r="D29" s="355">
        <v>25266</v>
      </c>
      <c r="E29" s="356" t="s">
        <v>7</v>
      </c>
      <c r="F29" s="357">
        <v>724</v>
      </c>
      <c r="G29" s="143" t="s">
        <v>7</v>
      </c>
    </row>
    <row r="30" spans="1:7" ht="12.75">
      <c r="A30" s="201">
        <f t="shared" si="0"/>
        <v>22</v>
      </c>
      <c r="B30" s="201" t="s">
        <v>614</v>
      </c>
      <c r="C30" s="129">
        <v>28051</v>
      </c>
      <c r="D30" s="355">
        <v>27529</v>
      </c>
      <c r="E30" s="356" t="s">
        <v>7</v>
      </c>
      <c r="F30" s="357">
        <v>522</v>
      </c>
      <c r="G30" s="143" t="s">
        <v>7</v>
      </c>
    </row>
    <row r="31" spans="1:7" ht="12.75">
      <c r="A31" s="201">
        <f t="shared" si="0"/>
        <v>23</v>
      </c>
      <c r="B31" s="201" t="s">
        <v>615</v>
      </c>
      <c r="C31" s="251">
        <v>122064</v>
      </c>
      <c r="D31" s="251">
        <v>108977</v>
      </c>
      <c r="E31" s="356" t="s">
        <v>7</v>
      </c>
      <c r="F31" s="251">
        <v>13087</v>
      </c>
      <c r="G31" s="143" t="s">
        <v>7</v>
      </c>
    </row>
    <row r="32" spans="1:7" ht="12.75">
      <c r="A32" s="201">
        <f t="shared" si="0"/>
        <v>24</v>
      </c>
      <c r="B32" s="201" t="s">
        <v>616</v>
      </c>
      <c r="C32" s="129">
        <v>93793</v>
      </c>
      <c r="D32" s="355">
        <v>88970</v>
      </c>
      <c r="E32" s="356" t="s">
        <v>7</v>
      </c>
      <c r="F32" s="357">
        <v>4823</v>
      </c>
      <c r="G32" s="143" t="s">
        <v>7</v>
      </c>
    </row>
    <row r="33" spans="1:7" ht="12.75">
      <c r="A33" s="201">
        <f t="shared" si="0"/>
        <v>25</v>
      </c>
      <c r="B33" s="201" t="s">
        <v>617</v>
      </c>
      <c r="C33" s="129">
        <v>64095</v>
      </c>
      <c r="D33" s="355">
        <v>62015</v>
      </c>
      <c r="E33" s="356" t="s">
        <v>7</v>
      </c>
      <c r="F33" s="357">
        <v>2080</v>
      </c>
      <c r="G33" s="143" t="s">
        <v>7</v>
      </c>
    </row>
    <row r="34" spans="1:7" ht="12.75">
      <c r="A34" s="201">
        <f t="shared" si="0"/>
        <v>26</v>
      </c>
      <c r="B34" s="201" t="s">
        <v>618</v>
      </c>
      <c r="C34" s="129">
        <v>49381</v>
      </c>
      <c r="D34" s="355">
        <v>48355</v>
      </c>
      <c r="E34" s="356" t="s">
        <v>7</v>
      </c>
      <c r="F34" s="357">
        <v>1026</v>
      </c>
      <c r="G34" s="143" t="s">
        <v>7</v>
      </c>
    </row>
    <row r="35" spans="1:7" ht="12.75">
      <c r="A35" s="201">
        <f t="shared" si="0"/>
        <v>27</v>
      </c>
      <c r="B35" s="201" t="s">
        <v>619</v>
      </c>
      <c r="C35" s="129">
        <v>74650</v>
      </c>
      <c r="D35" s="355">
        <v>68039</v>
      </c>
      <c r="E35" s="356" t="s">
        <v>7</v>
      </c>
      <c r="F35" s="357">
        <v>6611</v>
      </c>
      <c r="G35" s="143" t="s">
        <v>7</v>
      </c>
    </row>
    <row r="36" spans="1:7" ht="12.75">
      <c r="A36" s="201">
        <f t="shared" si="0"/>
        <v>28</v>
      </c>
      <c r="B36" s="143" t="s">
        <v>620</v>
      </c>
      <c r="C36" s="129">
        <v>37127</v>
      </c>
      <c r="D36" s="355">
        <v>35830</v>
      </c>
      <c r="E36" s="356" t="s">
        <v>7</v>
      </c>
      <c r="F36" s="357">
        <v>1297</v>
      </c>
      <c r="G36" s="143" t="s">
        <v>7</v>
      </c>
    </row>
    <row r="37" spans="1:7" ht="12.75">
      <c r="A37" s="201">
        <f t="shared" si="0"/>
        <v>29</v>
      </c>
      <c r="B37" s="143" t="s">
        <v>621</v>
      </c>
      <c r="C37" s="251">
        <v>28214</v>
      </c>
      <c r="D37" s="251">
        <v>27976</v>
      </c>
      <c r="E37" s="356" t="s">
        <v>7</v>
      </c>
      <c r="F37" s="251">
        <v>238</v>
      </c>
      <c r="G37" s="143" t="s">
        <v>7</v>
      </c>
    </row>
    <row r="38" spans="1:7" ht="12.75">
      <c r="A38" s="201">
        <f t="shared" si="0"/>
        <v>30</v>
      </c>
      <c r="B38" s="143" t="s">
        <v>622</v>
      </c>
      <c r="C38" s="251">
        <v>36199</v>
      </c>
      <c r="D38" s="251">
        <v>34849</v>
      </c>
      <c r="E38" s="356" t="s">
        <v>7</v>
      </c>
      <c r="F38" s="251">
        <v>1350</v>
      </c>
      <c r="G38" s="143" t="s">
        <v>7</v>
      </c>
    </row>
    <row r="39" spans="1:7" ht="12.75">
      <c r="A39" s="201">
        <f t="shared" si="0"/>
        <v>31</v>
      </c>
      <c r="B39" s="143" t="s">
        <v>623</v>
      </c>
      <c r="C39" s="129">
        <v>34670</v>
      </c>
      <c r="D39" s="355">
        <v>33427</v>
      </c>
      <c r="E39" s="356" t="s">
        <v>7</v>
      </c>
      <c r="F39" s="357">
        <v>1243</v>
      </c>
      <c r="G39" s="143" t="s">
        <v>7</v>
      </c>
    </row>
    <row r="40" spans="1:9" ht="15" customHeight="1">
      <c r="A40" s="150"/>
      <c r="B40" s="150" t="s">
        <v>624</v>
      </c>
      <c r="C40" s="198">
        <f>SUM(C9:C39)</f>
        <v>1797408</v>
      </c>
      <c r="D40" s="198">
        <f>SUM(D9:D39)</f>
        <v>1692785</v>
      </c>
      <c r="E40" s="356" t="s">
        <v>7</v>
      </c>
      <c r="F40" s="198">
        <f>SUM(F9:F39)</f>
        <v>104623</v>
      </c>
      <c r="G40" s="143" t="s">
        <v>7</v>
      </c>
      <c r="H40" s="170"/>
      <c r="I40" s="170"/>
    </row>
    <row r="41" spans="1:9" ht="15" customHeight="1">
      <c r="A41" s="137"/>
      <c r="B41" s="137"/>
      <c r="C41" s="137"/>
      <c r="D41" s="10"/>
      <c r="E41" s="400"/>
      <c r="F41" s="360"/>
      <c r="G41" s="401"/>
      <c r="H41" s="170"/>
      <c r="I41" s="170"/>
    </row>
    <row r="42" spans="1:9" ht="15" customHeight="1">
      <c r="A42" s="137"/>
      <c r="B42" s="137"/>
      <c r="C42" s="137"/>
      <c r="H42" s="170"/>
      <c r="I42" s="170"/>
    </row>
    <row r="47" spans="5:7" ht="15.75">
      <c r="E47" s="621" t="s">
        <v>860</v>
      </c>
      <c r="F47" s="621"/>
      <c r="G47" s="621"/>
    </row>
    <row r="48" spans="5:7" ht="15.75">
      <c r="E48" s="621" t="s">
        <v>653</v>
      </c>
      <c r="F48" s="621"/>
      <c r="G48" s="621"/>
    </row>
  </sheetData>
  <sheetProtection/>
  <mergeCells count="6">
    <mergeCell ref="E47:G47"/>
    <mergeCell ref="E48:G48"/>
    <mergeCell ref="A2:G2"/>
    <mergeCell ref="A4:G4"/>
    <mergeCell ref="A1:F1"/>
    <mergeCell ref="F6:H6"/>
  </mergeCells>
  <printOptions horizontalCentered="1"/>
  <pageMargins left="0.7086614173228347" right="0.7086614173228347" top="0.45" bottom="0" header="0.31496062992125984" footer="0.31496062992125984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9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11.00390625" style="6" customWidth="1"/>
    <col min="4" max="4" width="10.00390625" style="6" customWidth="1"/>
    <col min="5" max="5" width="13.140625" style="6" customWidth="1"/>
    <col min="6" max="6" width="15.140625" style="6" customWidth="1"/>
    <col min="7" max="7" width="13.28125" style="6" customWidth="1"/>
    <col min="8" max="8" width="14.7109375" style="6" customWidth="1"/>
    <col min="9" max="9" width="16.7109375" style="6" customWidth="1"/>
    <col min="10" max="10" width="19.28125" style="6" customWidth="1"/>
    <col min="11" max="16384" width="9.140625" style="6" customWidth="1"/>
  </cols>
  <sheetData>
    <row r="1" spans="5:10" ht="12.75">
      <c r="E1" s="560"/>
      <c r="F1" s="560"/>
      <c r="G1" s="560"/>
      <c r="H1" s="560"/>
      <c r="I1" s="560"/>
      <c r="J1" s="172" t="s">
        <v>58</v>
      </c>
    </row>
    <row r="2" spans="1:10" ht="18">
      <c r="A2" s="654" t="s">
        <v>746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4.25" customHeight="1"/>
    <row r="5" spans="1:10" ht="31.5" customHeight="1">
      <c r="A5" s="655" t="s">
        <v>707</v>
      </c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2" s="5" customFormat="1" ht="12.75">
      <c r="A7" s="21" t="s">
        <v>665</v>
      </c>
      <c r="B7" s="21"/>
    </row>
    <row r="8" spans="1:12" ht="12.75">
      <c r="A8" s="559"/>
      <c r="B8" s="559"/>
      <c r="C8" s="141"/>
      <c r="H8" s="640" t="s">
        <v>750</v>
      </c>
      <c r="I8" s="640"/>
      <c r="J8" s="640"/>
      <c r="K8" s="55"/>
      <c r="L8" s="55"/>
    </row>
    <row r="9" spans="1:18" ht="12.75">
      <c r="A9" s="530" t="s">
        <v>2</v>
      </c>
      <c r="B9" s="530" t="s">
        <v>3</v>
      </c>
      <c r="C9" s="541" t="s">
        <v>708</v>
      </c>
      <c r="D9" s="603"/>
      <c r="E9" s="603"/>
      <c r="F9" s="542"/>
      <c r="G9" s="541" t="s">
        <v>98</v>
      </c>
      <c r="H9" s="603"/>
      <c r="I9" s="603"/>
      <c r="J9" s="542"/>
      <c r="Q9" s="8"/>
      <c r="R9" s="10"/>
    </row>
    <row r="10" spans="1:10" ht="50.25" customHeight="1">
      <c r="A10" s="530"/>
      <c r="B10" s="530"/>
      <c r="C10" s="1" t="s">
        <v>181</v>
      </c>
      <c r="D10" s="1" t="s">
        <v>14</v>
      </c>
      <c r="E10" s="151" t="s">
        <v>782</v>
      </c>
      <c r="F10" s="151" t="s">
        <v>198</v>
      </c>
      <c r="G10" s="1" t="s">
        <v>181</v>
      </c>
      <c r="H10" s="175" t="s">
        <v>15</v>
      </c>
      <c r="I10" s="174" t="s">
        <v>106</v>
      </c>
      <c r="J10" s="1" t="s">
        <v>199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51">
        <v>6</v>
      </c>
      <c r="G11" s="1">
        <v>7</v>
      </c>
      <c r="H11" s="152">
        <v>8</v>
      </c>
      <c r="I11" s="1">
        <v>9</v>
      </c>
      <c r="J11" s="1">
        <v>10</v>
      </c>
    </row>
    <row r="12" spans="1:10" ht="12.75">
      <c r="A12" s="201">
        <v>1</v>
      </c>
      <c r="B12" s="201" t="s">
        <v>633</v>
      </c>
      <c r="C12" s="8">
        <v>964</v>
      </c>
      <c r="D12" s="8">
        <v>37450</v>
      </c>
      <c r="E12" s="8">
        <v>225</v>
      </c>
      <c r="F12" s="47">
        <f>D12*E12</f>
        <v>8426250</v>
      </c>
      <c r="G12" s="8">
        <v>921</v>
      </c>
      <c r="H12" s="16">
        <f>'enrolment vs availed_PY'!Q11</f>
        <v>8305650</v>
      </c>
      <c r="I12" s="16">
        <v>225</v>
      </c>
      <c r="J12" s="345">
        <f>H12/I12</f>
        <v>36914</v>
      </c>
    </row>
    <row r="13" spans="1:10" ht="12.75">
      <c r="A13" s="201">
        <f>A12+1</f>
        <v>2</v>
      </c>
      <c r="B13" s="201" t="s">
        <v>598</v>
      </c>
      <c r="C13" s="8">
        <v>1022</v>
      </c>
      <c r="D13" s="8">
        <v>39226</v>
      </c>
      <c r="E13" s="8">
        <v>225</v>
      </c>
      <c r="F13" s="47">
        <f aca="true" t="shared" si="0" ref="F13:F42">D13*E13</f>
        <v>8825850</v>
      </c>
      <c r="G13" s="8">
        <v>1011</v>
      </c>
      <c r="H13" s="16">
        <f>'enrolment vs availed_PY'!Q12</f>
        <v>8736300</v>
      </c>
      <c r="I13" s="16">
        <v>225</v>
      </c>
      <c r="J13" s="345">
        <f aca="true" t="shared" si="1" ref="J13:J42">H13/I13</f>
        <v>38828</v>
      </c>
    </row>
    <row r="14" spans="1:10" ht="12.75">
      <c r="A14" s="201">
        <f aca="true" t="shared" si="2" ref="A14:A42">A13+1</f>
        <v>3</v>
      </c>
      <c r="B14" s="201" t="s">
        <v>634</v>
      </c>
      <c r="C14" s="8">
        <v>611</v>
      </c>
      <c r="D14" s="8">
        <v>78012</v>
      </c>
      <c r="E14" s="8">
        <v>225</v>
      </c>
      <c r="F14" s="47">
        <f t="shared" si="0"/>
        <v>17552700</v>
      </c>
      <c r="G14" s="8">
        <v>585</v>
      </c>
      <c r="H14" s="16">
        <f>'enrolment vs availed_PY'!Q13</f>
        <v>16409475</v>
      </c>
      <c r="I14" s="16">
        <v>225</v>
      </c>
      <c r="J14" s="345">
        <f t="shared" si="1"/>
        <v>72931</v>
      </c>
    </row>
    <row r="15" spans="1:10" ht="12.75">
      <c r="A15" s="201">
        <f t="shared" si="2"/>
        <v>4</v>
      </c>
      <c r="B15" s="201" t="s">
        <v>599</v>
      </c>
      <c r="C15" s="8">
        <v>518</v>
      </c>
      <c r="D15" s="8">
        <v>26007</v>
      </c>
      <c r="E15" s="8">
        <v>225</v>
      </c>
      <c r="F15" s="47">
        <f t="shared" si="0"/>
        <v>5851575</v>
      </c>
      <c r="G15" s="8">
        <v>518</v>
      </c>
      <c r="H15" s="16">
        <f>'enrolment vs availed_PY'!Q14</f>
        <v>5685525</v>
      </c>
      <c r="I15" s="16">
        <v>225</v>
      </c>
      <c r="J15" s="345">
        <f t="shared" si="1"/>
        <v>25269</v>
      </c>
    </row>
    <row r="16" spans="1:10" ht="12.75">
      <c r="A16" s="201">
        <f t="shared" si="2"/>
        <v>5</v>
      </c>
      <c r="B16" s="201" t="s">
        <v>600</v>
      </c>
      <c r="C16" s="8">
        <v>364</v>
      </c>
      <c r="D16" s="8">
        <v>16183</v>
      </c>
      <c r="E16" s="8">
        <v>225</v>
      </c>
      <c r="F16" s="47">
        <f t="shared" si="0"/>
        <v>3641175</v>
      </c>
      <c r="G16" s="8">
        <v>331</v>
      </c>
      <c r="H16" s="16">
        <f>'enrolment vs availed_PY'!Q15</f>
        <v>3583125</v>
      </c>
      <c r="I16" s="16">
        <v>225</v>
      </c>
      <c r="J16" s="345">
        <f t="shared" si="1"/>
        <v>15925</v>
      </c>
    </row>
    <row r="17" spans="1:10" ht="12.75">
      <c r="A17" s="201">
        <f t="shared" si="2"/>
        <v>6</v>
      </c>
      <c r="B17" s="201" t="s">
        <v>601</v>
      </c>
      <c r="C17" s="8">
        <v>690</v>
      </c>
      <c r="D17" s="8">
        <v>21834</v>
      </c>
      <c r="E17" s="8">
        <v>225</v>
      </c>
      <c r="F17" s="47">
        <f t="shared" si="0"/>
        <v>4912650</v>
      </c>
      <c r="G17" s="8">
        <v>621</v>
      </c>
      <c r="H17" s="16">
        <f>'enrolment vs availed_PY'!Q16</f>
        <v>4953150</v>
      </c>
      <c r="I17" s="16">
        <v>225</v>
      </c>
      <c r="J17" s="345">
        <f t="shared" si="1"/>
        <v>22014</v>
      </c>
    </row>
    <row r="18" spans="1:10" ht="12.75">
      <c r="A18" s="201">
        <f t="shared" si="2"/>
        <v>7</v>
      </c>
      <c r="B18" s="201" t="s">
        <v>602</v>
      </c>
      <c r="C18" s="8">
        <v>288</v>
      </c>
      <c r="D18" s="8">
        <v>34155</v>
      </c>
      <c r="E18" s="8">
        <v>225</v>
      </c>
      <c r="F18" s="47">
        <f t="shared" si="0"/>
        <v>7684875</v>
      </c>
      <c r="G18" s="8">
        <v>288</v>
      </c>
      <c r="H18" s="16">
        <f>'enrolment vs availed_PY'!Q17</f>
        <v>7420275</v>
      </c>
      <c r="I18" s="16">
        <v>225</v>
      </c>
      <c r="J18" s="345">
        <f t="shared" si="1"/>
        <v>32979</v>
      </c>
    </row>
    <row r="19" spans="1:10" ht="12.75">
      <c r="A19" s="201">
        <f t="shared" si="2"/>
        <v>8</v>
      </c>
      <c r="B19" s="201" t="s">
        <v>603</v>
      </c>
      <c r="C19" s="8">
        <v>700</v>
      </c>
      <c r="D19" s="8">
        <v>41701</v>
      </c>
      <c r="E19" s="8">
        <v>225</v>
      </c>
      <c r="F19" s="47">
        <f t="shared" si="0"/>
        <v>9382725</v>
      </c>
      <c r="G19" s="8">
        <v>684</v>
      </c>
      <c r="H19" s="16">
        <f>'enrolment vs availed_PY'!Q18</f>
        <v>9305100</v>
      </c>
      <c r="I19" s="16">
        <v>225</v>
      </c>
      <c r="J19" s="345">
        <f t="shared" si="1"/>
        <v>41356</v>
      </c>
    </row>
    <row r="20" spans="1:10" ht="12.75">
      <c r="A20" s="201">
        <f t="shared" si="2"/>
        <v>9</v>
      </c>
      <c r="B20" s="201" t="s">
        <v>604</v>
      </c>
      <c r="C20" s="8">
        <v>432</v>
      </c>
      <c r="D20" s="8">
        <v>18219</v>
      </c>
      <c r="E20" s="8">
        <v>225</v>
      </c>
      <c r="F20" s="47">
        <f t="shared" si="0"/>
        <v>4099275</v>
      </c>
      <c r="G20" s="8">
        <v>432</v>
      </c>
      <c r="H20" s="16">
        <f>'enrolment vs availed_PY'!Q19</f>
        <v>4036950</v>
      </c>
      <c r="I20" s="16">
        <v>225</v>
      </c>
      <c r="J20" s="345">
        <f t="shared" si="1"/>
        <v>17942</v>
      </c>
    </row>
    <row r="21" spans="1:10" ht="12.75">
      <c r="A21" s="201">
        <f t="shared" si="2"/>
        <v>10</v>
      </c>
      <c r="B21" s="201" t="s">
        <v>605</v>
      </c>
      <c r="C21" s="8">
        <v>837</v>
      </c>
      <c r="D21" s="8">
        <v>42999</v>
      </c>
      <c r="E21" s="8">
        <v>225</v>
      </c>
      <c r="F21" s="47">
        <f t="shared" si="0"/>
        <v>9674775</v>
      </c>
      <c r="G21" s="8">
        <v>837</v>
      </c>
      <c r="H21" s="16">
        <f>'enrolment vs availed_PY'!Q20</f>
        <v>9537750</v>
      </c>
      <c r="I21" s="16">
        <v>225</v>
      </c>
      <c r="J21" s="345">
        <f t="shared" si="1"/>
        <v>42390</v>
      </c>
    </row>
    <row r="22" spans="1:10" ht="12.75">
      <c r="A22" s="201">
        <f t="shared" si="2"/>
        <v>11</v>
      </c>
      <c r="B22" s="201" t="s">
        <v>635</v>
      </c>
      <c r="C22" s="8">
        <v>898</v>
      </c>
      <c r="D22" s="8">
        <v>29201</v>
      </c>
      <c r="E22" s="8">
        <v>225</v>
      </c>
      <c r="F22" s="47">
        <f t="shared" si="0"/>
        <v>6570225</v>
      </c>
      <c r="G22" s="8">
        <v>869</v>
      </c>
      <c r="H22" s="16">
        <f>'enrolment vs availed_PY'!Q21</f>
        <v>6398100</v>
      </c>
      <c r="I22" s="16">
        <v>225</v>
      </c>
      <c r="J22" s="345">
        <f t="shared" si="1"/>
        <v>28436</v>
      </c>
    </row>
    <row r="23" spans="1:10" ht="12.75">
      <c r="A23" s="201">
        <f t="shared" si="2"/>
        <v>12</v>
      </c>
      <c r="B23" s="201" t="s">
        <v>606</v>
      </c>
      <c r="C23" s="8">
        <v>779</v>
      </c>
      <c r="D23" s="8">
        <v>26993</v>
      </c>
      <c r="E23" s="8">
        <v>225</v>
      </c>
      <c r="F23" s="47">
        <f t="shared" si="0"/>
        <v>6073425</v>
      </c>
      <c r="G23" s="8">
        <v>688</v>
      </c>
      <c r="H23" s="16">
        <f>'enrolment vs availed_PY'!Q22</f>
        <v>5734800</v>
      </c>
      <c r="I23" s="16">
        <v>225</v>
      </c>
      <c r="J23" s="345">
        <f t="shared" si="1"/>
        <v>25488</v>
      </c>
    </row>
    <row r="24" spans="1:10" ht="12.75">
      <c r="A24" s="201">
        <f t="shared" si="2"/>
        <v>13</v>
      </c>
      <c r="B24" s="201" t="s">
        <v>607</v>
      </c>
      <c r="C24" s="8">
        <v>993</v>
      </c>
      <c r="D24" s="8">
        <v>71087</v>
      </c>
      <c r="E24" s="8">
        <v>225</v>
      </c>
      <c r="F24" s="47">
        <f t="shared" si="0"/>
        <v>15994575</v>
      </c>
      <c r="G24" s="8">
        <v>932</v>
      </c>
      <c r="H24" s="16">
        <f>'enrolment vs availed_PY'!Q23</f>
        <v>15910425</v>
      </c>
      <c r="I24" s="16">
        <v>225</v>
      </c>
      <c r="J24" s="345">
        <f t="shared" si="1"/>
        <v>70713</v>
      </c>
    </row>
    <row r="25" spans="1:10" ht="12.75">
      <c r="A25" s="201">
        <f t="shared" si="2"/>
        <v>14</v>
      </c>
      <c r="B25" s="201" t="s">
        <v>636</v>
      </c>
      <c r="C25" s="8">
        <v>569</v>
      </c>
      <c r="D25" s="8">
        <v>21174</v>
      </c>
      <c r="E25" s="8">
        <v>225</v>
      </c>
      <c r="F25" s="47">
        <f t="shared" si="0"/>
        <v>4764150</v>
      </c>
      <c r="G25" s="8">
        <v>547</v>
      </c>
      <c r="H25" s="16">
        <f>'enrolment vs availed_PY'!Q24</f>
        <v>4621275</v>
      </c>
      <c r="I25" s="16">
        <v>225</v>
      </c>
      <c r="J25" s="345">
        <f t="shared" si="1"/>
        <v>20539</v>
      </c>
    </row>
    <row r="26" spans="1:10" ht="12.75">
      <c r="A26" s="201">
        <f t="shared" si="2"/>
        <v>15</v>
      </c>
      <c r="B26" s="201" t="s">
        <v>608</v>
      </c>
      <c r="C26" s="8">
        <v>628</v>
      </c>
      <c r="D26" s="8">
        <v>38113</v>
      </c>
      <c r="E26" s="8">
        <v>225</v>
      </c>
      <c r="F26" s="47">
        <f t="shared" si="0"/>
        <v>8575425</v>
      </c>
      <c r="G26" s="8">
        <v>628</v>
      </c>
      <c r="H26" s="16">
        <f>'enrolment vs availed_PY'!Q25</f>
        <v>8262900</v>
      </c>
      <c r="I26" s="16">
        <v>225</v>
      </c>
      <c r="J26" s="345">
        <f t="shared" si="1"/>
        <v>36724</v>
      </c>
    </row>
    <row r="27" spans="1:10" ht="12.75">
      <c r="A27" s="201">
        <f t="shared" si="2"/>
        <v>16</v>
      </c>
      <c r="B27" s="201" t="s">
        <v>609</v>
      </c>
      <c r="C27" s="8">
        <v>377</v>
      </c>
      <c r="D27" s="8">
        <v>39188</v>
      </c>
      <c r="E27" s="8">
        <v>225</v>
      </c>
      <c r="F27" s="47">
        <f t="shared" si="0"/>
        <v>8817300</v>
      </c>
      <c r="G27" s="8">
        <v>372</v>
      </c>
      <c r="H27" s="16">
        <f>'enrolment vs availed_PY'!Q26</f>
        <v>8370675</v>
      </c>
      <c r="I27" s="16">
        <v>225</v>
      </c>
      <c r="J27" s="345">
        <f t="shared" si="1"/>
        <v>37203</v>
      </c>
    </row>
    <row r="28" spans="1:10" ht="12.75">
      <c r="A28" s="201">
        <f t="shared" si="2"/>
        <v>17</v>
      </c>
      <c r="B28" s="201" t="s">
        <v>610</v>
      </c>
      <c r="C28" s="8">
        <v>609</v>
      </c>
      <c r="D28" s="8">
        <v>32780</v>
      </c>
      <c r="E28" s="8">
        <v>225</v>
      </c>
      <c r="F28" s="47">
        <f t="shared" si="0"/>
        <v>7375500</v>
      </c>
      <c r="G28" s="8">
        <v>571</v>
      </c>
      <c r="H28" s="16">
        <f>'enrolment vs availed_PY'!Q27</f>
        <v>6886800</v>
      </c>
      <c r="I28" s="16">
        <v>225</v>
      </c>
      <c r="J28" s="345">
        <f t="shared" si="1"/>
        <v>30608</v>
      </c>
    </row>
    <row r="29" spans="1:10" ht="12.75">
      <c r="A29" s="201">
        <f t="shared" si="2"/>
        <v>18</v>
      </c>
      <c r="B29" s="201" t="s">
        <v>611</v>
      </c>
      <c r="C29" s="8">
        <v>1171</v>
      </c>
      <c r="D29" s="8">
        <v>49696</v>
      </c>
      <c r="E29" s="8">
        <v>225</v>
      </c>
      <c r="F29" s="47">
        <f t="shared" si="0"/>
        <v>11181600</v>
      </c>
      <c r="G29" s="8">
        <v>1038</v>
      </c>
      <c r="H29" s="16">
        <f>'enrolment vs availed_PY'!Q28</f>
        <v>10926225</v>
      </c>
      <c r="I29" s="16">
        <v>225</v>
      </c>
      <c r="J29" s="345">
        <f t="shared" si="1"/>
        <v>48561</v>
      </c>
    </row>
    <row r="30" spans="1:10" ht="12.75">
      <c r="A30" s="201">
        <f t="shared" si="2"/>
        <v>19</v>
      </c>
      <c r="B30" s="201" t="s">
        <v>637</v>
      </c>
      <c r="C30" s="8">
        <v>574</v>
      </c>
      <c r="D30" s="8">
        <v>26552</v>
      </c>
      <c r="E30" s="8">
        <v>225</v>
      </c>
      <c r="F30" s="47">
        <f t="shared" si="0"/>
        <v>5974200</v>
      </c>
      <c r="G30" s="8">
        <v>574</v>
      </c>
      <c r="H30" s="16">
        <f>'enrolment vs availed_PY'!Q29</f>
        <v>5762700</v>
      </c>
      <c r="I30" s="16">
        <v>225</v>
      </c>
      <c r="J30" s="345">
        <f t="shared" si="1"/>
        <v>25612</v>
      </c>
    </row>
    <row r="31" spans="1:10" ht="12.75">
      <c r="A31" s="201">
        <f t="shared" si="2"/>
        <v>20</v>
      </c>
      <c r="B31" s="201" t="s">
        <v>612</v>
      </c>
      <c r="C31" s="8">
        <v>785</v>
      </c>
      <c r="D31" s="8">
        <v>50467</v>
      </c>
      <c r="E31" s="8">
        <v>225</v>
      </c>
      <c r="F31" s="47">
        <f t="shared" si="0"/>
        <v>11355075</v>
      </c>
      <c r="G31" s="8">
        <v>773</v>
      </c>
      <c r="H31" s="16">
        <f>'enrolment vs availed_PY'!Q30</f>
        <v>11234925</v>
      </c>
      <c r="I31" s="16">
        <v>225</v>
      </c>
      <c r="J31" s="345">
        <f t="shared" si="1"/>
        <v>49933</v>
      </c>
    </row>
    <row r="32" spans="1:10" ht="12.75">
      <c r="A32" s="201">
        <f t="shared" si="2"/>
        <v>21</v>
      </c>
      <c r="B32" s="201" t="s">
        <v>613</v>
      </c>
      <c r="C32" s="8">
        <v>362</v>
      </c>
      <c r="D32" s="8">
        <v>14266</v>
      </c>
      <c r="E32" s="8">
        <v>225</v>
      </c>
      <c r="F32" s="47">
        <f t="shared" si="0"/>
        <v>3209850</v>
      </c>
      <c r="G32" s="8">
        <v>351</v>
      </c>
      <c r="H32" s="16">
        <f>'enrolment vs availed_PY'!Q31</f>
        <v>3073950</v>
      </c>
      <c r="I32" s="16">
        <v>225</v>
      </c>
      <c r="J32" s="345">
        <f t="shared" si="1"/>
        <v>13662</v>
      </c>
    </row>
    <row r="33" spans="1:10" ht="12.75">
      <c r="A33" s="201">
        <f t="shared" si="2"/>
        <v>22</v>
      </c>
      <c r="B33" s="201" t="s">
        <v>614</v>
      </c>
      <c r="C33" s="8">
        <v>341</v>
      </c>
      <c r="D33" s="8">
        <v>16008</v>
      </c>
      <c r="E33" s="8">
        <v>225</v>
      </c>
      <c r="F33" s="47">
        <f t="shared" si="0"/>
        <v>3601800</v>
      </c>
      <c r="G33" s="8">
        <v>341</v>
      </c>
      <c r="H33" s="16">
        <f>'enrolment vs availed_PY'!Q32</f>
        <v>3618900</v>
      </c>
      <c r="I33" s="16">
        <v>225</v>
      </c>
      <c r="J33" s="345">
        <f t="shared" si="1"/>
        <v>16084</v>
      </c>
    </row>
    <row r="34" spans="1:10" ht="12.75">
      <c r="A34" s="201">
        <f t="shared" si="2"/>
        <v>23</v>
      </c>
      <c r="B34" s="201" t="s">
        <v>615</v>
      </c>
      <c r="C34" s="8">
        <v>899</v>
      </c>
      <c r="D34" s="8">
        <v>70527</v>
      </c>
      <c r="E34" s="8">
        <v>225</v>
      </c>
      <c r="F34" s="47">
        <f t="shared" si="0"/>
        <v>15868575</v>
      </c>
      <c r="G34" s="8">
        <v>876</v>
      </c>
      <c r="H34" s="16">
        <f>'enrolment vs availed_PY'!Q33</f>
        <v>15825150</v>
      </c>
      <c r="I34" s="16">
        <v>225</v>
      </c>
      <c r="J34" s="345">
        <f t="shared" si="1"/>
        <v>70334</v>
      </c>
    </row>
    <row r="35" spans="1:10" ht="12.75">
      <c r="A35" s="201">
        <f t="shared" si="2"/>
        <v>24</v>
      </c>
      <c r="B35" s="201" t="s">
        <v>616</v>
      </c>
      <c r="C35" s="8">
        <v>873</v>
      </c>
      <c r="D35" s="8">
        <v>56020</v>
      </c>
      <c r="E35" s="8">
        <v>225</v>
      </c>
      <c r="F35" s="47">
        <f t="shared" si="0"/>
        <v>12604500</v>
      </c>
      <c r="G35" s="8">
        <v>873</v>
      </c>
      <c r="H35" s="16">
        <f>'enrolment vs availed_PY'!Q34</f>
        <v>12264300</v>
      </c>
      <c r="I35" s="16">
        <v>225</v>
      </c>
      <c r="J35" s="345">
        <f t="shared" si="1"/>
        <v>54508</v>
      </c>
    </row>
    <row r="36" spans="1:10" ht="12.75">
      <c r="A36" s="201">
        <f t="shared" si="2"/>
        <v>25</v>
      </c>
      <c r="B36" s="201" t="s">
        <v>617</v>
      </c>
      <c r="C36" s="8">
        <v>639</v>
      </c>
      <c r="D36" s="8">
        <v>35543</v>
      </c>
      <c r="E36" s="8">
        <v>225</v>
      </c>
      <c r="F36" s="47">
        <f t="shared" si="0"/>
        <v>7997175</v>
      </c>
      <c r="G36" s="8">
        <v>639</v>
      </c>
      <c r="H36" s="16">
        <f>'enrolment vs availed_PY'!Q35</f>
        <v>7989525</v>
      </c>
      <c r="I36" s="16">
        <v>225</v>
      </c>
      <c r="J36" s="345">
        <f t="shared" si="1"/>
        <v>35509</v>
      </c>
    </row>
    <row r="37" spans="1:10" ht="12.75">
      <c r="A37" s="201">
        <f t="shared" si="2"/>
        <v>26</v>
      </c>
      <c r="B37" s="201" t="s">
        <v>618</v>
      </c>
      <c r="C37" s="8">
        <v>702</v>
      </c>
      <c r="D37" s="8">
        <v>30876</v>
      </c>
      <c r="E37" s="8">
        <v>225</v>
      </c>
      <c r="F37" s="47">
        <f t="shared" si="0"/>
        <v>6947100</v>
      </c>
      <c r="G37" s="8">
        <v>690</v>
      </c>
      <c r="H37" s="16">
        <f>'enrolment vs availed_PY'!Q36</f>
        <v>6708150</v>
      </c>
      <c r="I37" s="16">
        <v>225</v>
      </c>
      <c r="J37" s="345">
        <f t="shared" si="1"/>
        <v>29814</v>
      </c>
    </row>
    <row r="38" spans="1:10" ht="12.75">
      <c r="A38" s="201">
        <f t="shared" si="2"/>
        <v>27</v>
      </c>
      <c r="B38" s="201" t="s">
        <v>619</v>
      </c>
      <c r="C38" s="8">
        <v>756</v>
      </c>
      <c r="D38" s="8">
        <v>46097</v>
      </c>
      <c r="E38" s="8">
        <v>225</v>
      </c>
      <c r="F38" s="47">
        <f t="shared" si="0"/>
        <v>10371825</v>
      </c>
      <c r="G38" s="8">
        <v>733</v>
      </c>
      <c r="H38" s="16">
        <f>'enrolment vs availed_PY'!Q37</f>
        <v>10090350</v>
      </c>
      <c r="I38" s="16">
        <v>225</v>
      </c>
      <c r="J38" s="345">
        <f t="shared" si="1"/>
        <v>44846</v>
      </c>
    </row>
    <row r="39" spans="1:10" ht="12.75">
      <c r="A39" s="201">
        <f t="shared" si="2"/>
        <v>28</v>
      </c>
      <c r="B39" s="143" t="s">
        <v>620</v>
      </c>
      <c r="C39" s="8">
        <v>363</v>
      </c>
      <c r="D39" s="8">
        <v>22533</v>
      </c>
      <c r="E39" s="8">
        <v>225</v>
      </c>
      <c r="F39" s="47">
        <f t="shared" si="0"/>
        <v>5069925</v>
      </c>
      <c r="G39" s="8">
        <v>351</v>
      </c>
      <c r="H39" s="16">
        <f>'enrolment vs availed_PY'!Q38</f>
        <v>5141475</v>
      </c>
      <c r="I39" s="16">
        <v>225</v>
      </c>
      <c r="J39" s="345">
        <f t="shared" si="1"/>
        <v>22851</v>
      </c>
    </row>
    <row r="40" spans="1:10" ht="12.75">
      <c r="A40" s="201">
        <f t="shared" si="2"/>
        <v>29</v>
      </c>
      <c r="B40" s="143" t="s">
        <v>621</v>
      </c>
      <c r="C40" s="8">
        <v>473</v>
      </c>
      <c r="D40" s="8">
        <v>17839</v>
      </c>
      <c r="E40" s="8">
        <v>225</v>
      </c>
      <c r="F40" s="47">
        <f t="shared" si="0"/>
        <v>4013775</v>
      </c>
      <c r="G40" s="8">
        <v>432</v>
      </c>
      <c r="H40" s="16">
        <f>'enrolment vs availed_PY'!Q39</f>
        <v>3964050</v>
      </c>
      <c r="I40" s="16">
        <v>225</v>
      </c>
      <c r="J40" s="345">
        <f t="shared" si="1"/>
        <v>17618</v>
      </c>
    </row>
    <row r="41" spans="1:10" ht="12.75">
      <c r="A41" s="201">
        <f t="shared" si="2"/>
        <v>30</v>
      </c>
      <c r="B41" s="143" t="s">
        <v>622</v>
      </c>
      <c r="C41" s="8">
        <v>354</v>
      </c>
      <c r="D41" s="8">
        <v>21242</v>
      </c>
      <c r="E41" s="8">
        <v>225</v>
      </c>
      <c r="F41" s="47">
        <f t="shared" si="0"/>
        <v>4779450</v>
      </c>
      <c r="G41" s="8">
        <v>323</v>
      </c>
      <c r="H41" s="16">
        <f>'enrolment vs availed_PY'!Q40</f>
        <v>4739625</v>
      </c>
      <c r="I41" s="16">
        <v>225</v>
      </c>
      <c r="J41" s="345">
        <f t="shared" si="1"/>
        <v>21065</v>
      </c>
    </row>
    <row r="42" spans="1:10" ht="12.75">
      <c r="A42" s="201">
        <f t="shared" si="2"/>
        <v>31</v>
      </c>
      <c r="B42" s="143" t="s">
        <v>623</v>
      </c>
      <c r="C42" s="17">
        <v>473</v>
      </c>
      <c r="D42" s="8">
        <v>19012</v>
      </c>
      <c r="E42" s="8">
        <v>225</v>
      </c>
      <c r="F42" s="47">
        <f t="shared" si="0"/>
        <v>4277700</v>
      </c>
      <c r="G42" s="8">
        <v>453</v>
      </c>
      <c r="H42" s="16">
        <f>'enrolment vs availed_PY'!Q41</f>
        <v>4213350</v>
      </c>
      <c r="I42" s="16">
        <v>225</v>
      </c>
      <c r="J42" s="345">
        <f t="shared" si="1"/>
        <v>18726</v>
      </c>
    </row>
    <row r="43" spans="1:10" ht="12.75">
      <c r="A43" s="150"/>
      <c r="B43" s="150" t="s">
        <v>624</v>
      </c>
      <c r="C43" s="17">
        <f>SUM(C12:C42)</f>
        <v>20044</v>
      </c>
      <c r="D43" s="17">
        <f aca="true" t="shared" si="3" ref="D43:J43">SUM(D12:D42)</f>
        <v>1091000</v>
      </c>
      <c r="E43" s="17">
        <v>225</v>
      </c>
      <c r="F43" s="17">
        <f t="shared" si="3"/>
        <v>245475000</v>
      </c>
      <c r="G43" s="17">
        <f t="shared" si="3"/>
        <v>19282</v>
      </c>
      <c r="H43" s="17">
        <f t="shared" si="3"/>
        <v>239710950</v>
      </c>
      <c r="I43" s="17">
        <v>225</v>
      </c>
      <c r="J43" s="346">
        <f t="shared" si="3"/>
        <v>1065382</v>
      </c>
    </row>
    <row r="44" spans="1:10" ht="12.75">
      <c r="A44" s="3"/>
      <c r="B44" s="18"/>
      <c r="C44" s="18"/>
      <c r="D44" s="10"/>
      <c r="E44" s="10"/>
      <c r="F44" s="10"/>
      <c r="G44" s="10"/>
      <c r="H44" s="10"/>
      <c r="I44" s="10"/>
      <c r="J44" s="10"/>
    </row>
    <row r="45" spans="1:10" ht="12.75">
      <c r="A45" s="160" t="s">
        <v>755</v>
      </c>
      <c r="B45" s="18"/>
      <c r="C45" s="18"/>
      <c r="D45" s="10"/>
      <c r="E45" s="10"/>
      <c r="F45" s="10"/>
      <c r="G45" s="10"/>
      <c r="H45" s="10"/>
      <c r="I45" s="10"/>
      <c r="J45" s="10"/>
    </row>
    <row r="48" spans="7:10" ht="15.75">
      <c r="G48" s="621" t="s">
        <v>860</v>
      </c>
      <c r="H48" s="621"/>
      <c r="I48" s="621"/>
      <c r="J48" s="621"/>
    </row>
    <row r="49" spans="7:10" ht="15.75">
      <c r="G49" s="621" t="s">
        <v>653</v>
      </c>
      <c r="H49" s="621"/>
      <c r="I49" s="621"/>
      <c r="J49" s="621"/>
    </row>
  </sheetData>
  <sheetProtection/>
  <mergeCells count="12">
    <mergeCell ref="B9:B10"/>
    <mergeCell ref="A8:B8"/>
    <mergeCell ref="G48:J48"/>
    <mergeCell ref="G49:J49"/>
    <mergeCell ref="E1:I1"/>
    <mergeCell ref="A2:J2"/>
    <mergeCell ref="A3:J3"/>
    <mergeCell ref="G9:J9"/>
    <mergeCell ref="C9:F9"/>
    <mergeCell ref="H8:J8"/>
    <mergeCell ref="A5:J5"/>
    <mergeCell ref="A9:A10"/>
  </mergeCells>
  <printOptions horizontalCentered="1"/>
  <pageMargins left="0.7086614173228347" right="0.7086614173228347" top="0.44" bottom="0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8"/>
  <sheetViews>
    <sheetView view="pageBreakPreview" zoomScale="55" zoomScaleNormal="70" zoomScaleSheetLayoutView="55" zoomScalePageLayoutView="0" workbookViewId="0" topLeftCell="A4">
      <selection activeCell="P23" sqref="P23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11.00390625" style="6" customWidth="1"/>
    <col min="4" max="4" width="10.00390625" style="6" customWidth="1"/>
    <col min="5" max="5" width="14.140625" style="6" customWidth="1"/>
    <col min="6" max="6" width="14.28125" style="6" customWidth="1"/>
    <col min="7" max="7" width="13.28125" style="6" customWidth="1"/>
    <col min="8" max="8" width="14.7109375" style="6" customWidth="1"/>
    <col min="9" max="9" width="16.7109375" style="6" customWidth="1"/>
    <col min="10" max="10" width="19.28125" style="6" customWidth="1"/>
    <col min="11" max="16384" width="9.140625" style="6" customWidth="1"/>
  </cols>
  <sheetData>
    <row r="1" spans="5:10" ht="12.75">
      <c r="E1" s="560"/>
      <c r="F1" s="560"/>
      <c r="G1" s="560"/>
      <c r="H1" s="560"/>
      <c r="I1" s="560"/>
      <c r="J1" s="172" t="s">
        <v>352</v>
      </c>
    </row>
    <row r="2" spans="1:10" ht="18">
      <c r="A2" s="654" t="s">
        <v>0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4.25" customHeight="1"/>
    <row r="5" spans="1:10" ht="15.75">
      <c r="A5" s="652" t="s">
        <v>709</v>
      </c>
      <c r="B5" s="652"/>
      <c r="C5" s="652"/>
      <c r="D5" s="652"/>
      <c r="E5" s="652"/>
      <c r="F5" s="652"/>
      <c r="G5" s="652"/>
      <c r="H5" s="652"/>
      <c r="I5" s="652"/>
      <c r="J5" s="652"/>
    </row>
    <row r="6" spans="1:10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2" s="5" customFormat="1" ht="12.75">
      <c r="A7" s="21" t="s">
        <v>665</v>
      </c>
      <c r="B7" s="21"/>
    </row>
    <row r="8" spans="1:10" ht="20.25" customHeight="1">
      <c r="A8" s="559"/>
      <c r="B8" s="559"/>
      <c r="C8" s="141"/>
      <c r="H8" s="656" t="s">
        <v>750</v>
      </c>
      <c r="I8" s="656"/>
      <c r="J8" s="656"/>
    </row>
    <row r="9" spans="1:16" ht="12.75">
      <c r="A9" s="530" t="s">
        <v>2</v>
      </c>
      <c r="B9" s="530" t="s">
        <v>3</v>
      </c>
      <c r="C9" s="541" t="s">
        <v>708</v>
      </c>
      <c r="D9" s="603"/>
      <c r="E9" s="603"/>
      <c r="F9" s="542"/>
      <c r="G9" s="541" t="s">
        <v>98</v>
      </c>
      <c r="H9" s="603"/>
      <c r="I9" s="603"/>
      <c r="J9" s="542"/>
      <c r="O9" s="8"/>
      <c r="P9" s="10"/>
    </row>
    <row r="10" spans="1:10" ht="51">
      <c r="A10" s="530"/>
      <c r="B10" s="530"/>
      <c r="C10" s="1" t="s">
        <v>181</v>
      </c>
      <c r="D10" s="1" t="s">
        <v>14</v>
      </c>
      <c r="E10" s="121" t="s">
        <v>550</v>
      </c>
      <c r="F10" s="151" t="s">
        <v>198</v>
      </c>
      <c r="G10" s="1" t="s">
        <v>181</v>
      </c>
      <c r="H10" s="175" t="s">
        <v>15</v>
      </c>
      <c r="I10" s="174" t="s">
        <v>106</v>
      </c>
      <c r="J10" s="1" t="s">
        <v>199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51">
        <v>6</v>
      </c>
      <c r="G11" s="1">
        <v>7</v>
      </c>
      <c r="H11" s="152">
        <v>8</v>
      </c>
      <c r="I11" s="1">
        <v>9</v>
      </c>
      <c r="J11" s="1">
        <v>10</v>
      </c>
    </row>
    <row r="12" spans="1:10" ht="12.75">
      <c r="A12" s="201">
        <v>1</v>
      </c>
      <c r="B12" s="201" t="s">
        <v>633</v>
      </c>
      <c r="C12" s="291">
        <v>231</v>
      </c>
      <c r="D12" s="291">
        <v>15987</v>
      </c>
      <c r="E12" s="8">
        <v>225</v>
      </c>
      <c r="F12" s="290">
        <f>D12*E12</f>
        <v>3597075</v>
      </c>
      <c r="G12" s="291">
        <v>231</v>
      </c>
      <c r="H12" s="365">
        <f>'enrolment vs availed_UPY'!Q11-'enrolment vs availed_UPY'!O11</f>
        <v>3485700</v>
      </c>
      <c r="I12" s="289">
        <v>225</v>
      </c>
      <c r="J12" s="365">
        <f>H12/I12</f>
        <v>15492</v>
      </c>
    </row>
    <row r="13" spans="1:10" ht="12.75">
      <c r="A13" s="201">
        <f>A12+1</f>
        <v>2</v>
      </c>
      <c r="B13" s="201" t="s">
        <v>598</v>
      </c>
      <c r="C13" s="291">
        <v>288</v>
      </c>
      <c r="D13" s="291">
        <v>18252</v>
      </c>
      <c r="E13" s="8">
        <v>225</v>
      </c>
      <c r="F13" s="290">
        <f aca="true" t="shared" si="0" ref="F13:F42">D13*E13</f>
        <v>4106700</v>
      </c>
      <c r="G13" s="291">
        <v>288</v>
      </c>
      <c r="H13" s="365">
        <f>'enrolment vs availed_UPY'!Q12-'enrolment vs availed_UPY'!O12</f>
        <v>3875175</v>
      </c>
      <c r="I13" s="289">
        <v>225</v>
      </c>
      <c r="J13" s="365">
        <f aca="true" t="shared" si="1" ref="J13:J42">H13/I13</f>
        <v>17223</v>
      </c>
    </row>
    <row r="14" spans="1:10" ht="12.75">
      <c r="A14" s="201">
        <f aca="true" t="shared" si="2" ref="A14:A42">A13+1</f>
        <v>3</v>
      </c>
      <c r="B14" s="201" t="s">
        <v>634</v>
      </c>
      <c r="C14" s="291">
        <v>348</v>
      </c>
      <c r="D14" s="291">
        <v>42098</v>
      </c>
      <c r="E14" s="8">
        <v>225</v>
      </c>
      <c r="F14" s="290">
        <f t="shared" si="0"/>
        <v>9472050</v>
      </c>
      <c r="G14" s="291">
        <v>298</v>
      </c>
      <c r="H14" s="365">
        <f>'enrolment vs availed_UPY'!Q13-'enrolment vs availed_UPY'!O13</f>
        <v>8718975</v>
      </c>
      <c r="I14" s="289">
        <v>225</v>
      </c>
      <c r="J14" s="365">
        <f t="shared" si="1"/>
        <v>38751</v>
      </c>
    </row>
    <row r="15" spans="1:10" ht="12.75">
      <c r="A15" s="201">
        <f t="shared" si="2"/>
        <v>4</v>
      </c>
      <c r="B15" s="201" t="s">
        <v>599</v>
      </c>
      <c r="C15" s="291">
        <v>287</v>
      </c>
      <c r="D15" s="291">
        <v>19195</v>
      </c>
      <c r="E15" s="8">
        <v>225</v>
      </c>
      <c r="F15" s="290">
        <f t="shared" si="0"/>
        <v>4318875</v>
      </c>
      <c r="G15" s="291">
        <v>287</v>
      </c>
      <c r="H15" s="365">
        <f>'enrolment vs availed_UPY'!Q14-'enrolment vs availed_UPY'!O14</f>
        <v>4178925</v>
      </c>
      <c r="I15" s="289">
        <v>225</v>
      </c>
      <c r="J15" s="365">
        <f t="shared" si="1"/>
        <v>18573</v>
      </c>
    </row>
    <row r="16" spans="1:10" ht="12.75">
      <c r="A16" s="201">
        <f t="shared" si="2"/>
        <v>5</v>
      </c>
      <c r="B16" s="201" t="s">
        <v>600</v>
      </c>
      <c r="C16" s="291">
        <v>193</v>
      </c>
      <c r="D16" s="291">
        <v>12966</v>
      </c>
      <c r="E16" s="8">
        <v>225</v>
      </c>
      <c r="F16" s="290">
        <f t="shared" si="0"/>
        <v>2917350</v>
      </c>
      <c r="G16" s="291">
        <v>193</v>
      </c>
      <c r="H16" s="365">
        <f>'enrolment vs availed_UPY'!Q15-'enrolment vs availed_UPY'!O15</f>
        <v>2617425</v>
      </c>
      <c r="I16" s="289">
        <v>225</v>
      </c>
      <c r="J16" s="365">
        <f t="shared" si="1"/>
        <v>11633</v>
      </c>
    </row>
    <row r="17" spans="1:10" ht="12.75">
      <c r="A17" s="201">
        <f t="shared" si="2"/>
        <v>6</v>
      </c>
      <c r="B17" s="201" t="s">
        <v>601</v>
      </c>
      <c r="C17" s="291">
        <v>208</v>
      </c>
      <c r="D17" s="291">
        <v>11126</v>
      </c>
      <c r="E17" s="8">
        <v>225</v>
      </c>
      <c r="F17" s="290">
        <f t="shared" si="0"/>
        <v>2503350</v>
      </c>
      <c r="G17" s="291">
        <v>204</v>
      </c>
      <c r="H17" s="365">
        <f>'enrolment vs availed_UPY'!Q16-'enrolment vs availed_UPY'!O16</f>
        <v>2416725</v>
      </c>
      <c r="I17" s="289">
        <v>225</v>
      </c>
      <c r="J17" s="365">
        <f t="shared" si="1"/>
        <v>10741</v>
      </c>
    </row>
    <row r="18" spans="1:10" ht="12.75">
      <c r="A18" s="201">
        <f t="shared" si="2"/>
        <v>7</v>
      </c>
      <c r="B18" s="201" t="s">
        <v>602</v>
      </c>
      <c r="C18" s="291">
        <v>178</v>
      </c>
      <c r="D18" s="291">
        <v>17856</v>
      </c>
      <c r="E18" s="8">
        <v>225</v>
      </c>
      <c r="F18" s="290">
        <f t="shared" si="0"/>
        <v>4017600</v>
      </c>
      <c r="G18" s="291">
        <v>178</v>
      </c>
      <c r="H18" s="365">
        <f>'enrolment vs availed_UPY'!Q17-'enrolment vs availed_UPY'!O17</f>
        <v>3860775</v>
      </c>
      <c r="I18" s="289">
        <v>225</v>
      </c>
      <c r="J18" s="365">
        <f t="shared" si="1"/>
        <v>17159</v>
      </c>
    </row>
    <row r="19" spans="1:10" ht="12.75">
      <c r="A19" s="201">
        <f t="shared" si="2"/>
        <v>8</v>
      </c>
      <c r="B19" s="201" t="s">
        <v>603</v>
      </c>
      <c r="C19" s="291">
        <v>323</v>
      </c>
      <c r="D19" s="291">
        <v>24817</v>
      </c>
      <c r="E19" s="8">
        <v>225</v>
      </c>
      <c r="F19" s="290">
        <f t="shared" si="0"/>
        <v>5583825</v>
      </c>
      <c r="G19" s="291">
        <v>323</v>
      </c>
      <c r="H19" s="365">
        <f>'enrolment vs availed_UPY'!Q18-'enrolment vs availed_UPY'!O18</f>
        <v>5132475</v>
      </c>
      <c r="I19" s="289">
        <v>225</v>
      </c>
      <c r="J19" s="365">
        <f t="shared" si="1"/>
        <v>22811</v>
      </c>
    </row>
    <row r="20" spans="1:10" ht="12.75">
      <c r="A20" s="201">
        <f t="shared" si="2"/>
        <v>9</v>
      </c>
      <c r="B20" s="201" t="s">
        <v>604</v>
      </c>
      <c r="C20" s="291">
        <v>253</v>
      </c>
      <c r="D20" s="291">
        <v>15215</v>
      </c>
      <c r="E20" s="8">
        <v>225</v>
      </c>
      <c r="F20" s="290">
        <f t="shared" si="0"/>
        <v>3423375</v>
      </c>
      <c r="G20" s="291">
        <v>253</v>
      </c>
      <c r="H20" s="365">
        <f>'enrolment vs availed_UPY'!Q19-'enrolment vs availed_UPY'!O19</f>
        <v>3214125</v>
      </c>
      <c r="I20" s="289">
        <v>225</v>
      </c>
      <c r="J20" s="365">
        <f t="shared" si="1"/>
        <v>14285</v>
      </c>
    </row>
    <row r="21" spans="1:10" ht="12.75">
      <c r="A21" s="201">
        <f t="shared" si="2"/>
        <v>10</v>
      </c>
      <c r="B21" s="201" t="s">
        <v>605</v>
      </c>
      <c r="C21" s="291">
        <v>418</v>
      </c>
      <c r="D21" s="291">
        <v>26098</v>
      </c>
      <c r="E21" s="8">
        <v>225</v>
      </c>
      <c r="F21" s="290">
        <f t="shared" si="0"/>
        <v>5872050</v>
      </c>
      <c r="G21" s="291">
        <v>418</v>
      </c>
      <c r="H21" s="365">
        <f>'enrolment vs availed_UPY'!Q20-'enrolment vs availed_UPY'!O20</f>
        <v>5601825</v>
      </c>
      <c r="I21" s="289">
        <v>225</v>
      </c>
      <c r="J21" s="365">
        <f t="shared" si="1"/>
        <v>24897</v>
      </c>
    </row>
    <row r="22" spans="1:10" ht="13.5" customHeight="1">
      <c r="A22" s="201">
        <f t="shared" si="2"/>
        <v>11</v>
      </c>
      <c r="B22" s="201" t="s">
        <v>635</v>
      </c>
      <c r="C22" s="291">
        <v>170</v>
      </c>
      <c r="D22" s="291">
        <v>11280</v>
      </c>
      <c r="E22" s="8">
        <v>225</v>
      </c>
      <c r="F22" s="290">
        <f t="shared" si="0"/>
        <v>2538000</v>
      </c>
      <c r="G22" s="291">
        <v>170</v>
      </c>
      <c r="H22" s="365">
        <f>'enrolment vs availed_UPY'!Q21-'enrolment vs availed_UPY'!O21</f>
        <v>2331900</v>
      </c>
      <c r="I22" s="289">
        <v>225</v>
      </c>
      <c r="J22" s="365">
        <f t="shared" si="1"/>
        <v>10364</v>
      </c>
    </row>
    <row r="23" spans="1:10" ht="12.75">
      <c r="A23" s="201">
        <f t="shared" si="2"/>
        <v>12</v>
      </c>
      <c r="B23" s="201" t="s">
        <v>606</v>
      </c>
      <c r="C23" s="291">
        <v>235</v>
      </c>
      <c r="D23" s="291">
        <v>14524</v>
      </c>
      <c r="E23" s="8">
        <v>225</v>
      </c>
      <c r="F23" s="290">
        <f t="shared" si="0"/>
        <v>3267900</v>
      </c>
      <c r="G23" s="291">
        <v>234</v>
      </c>
      <c r="H23" s="365">
        <f>'enrolment vs availed_UPY'!Q22-'enrolment vs availed_UPY'!O22</f>
        <v>3019950</v>
      </c>
      <c r="I23" s="289">
        <v>225</v>
      </c>
      <c r="J23" s="365">
        <f t="shared" si="1"/>
        <v>13422</v>
      </c>
    </row>
    <row r="24" spans="1:10" ht="15.75" customHeight="1">
      <c r="A24" s="201">
        <f t="shared" si="2"/>
        <v>13</v>
      </c>
      <c r="B24" s="201" t="s">
        <v>607</v>
      </c>
      <c r="C24" s="291">
        <v>411</v>
      </c>
      <c r="D24" s="291">
        <v>42196</v>
      </c>
      <c r="E24" s="8">
        <v>225</v>
      </c>
      <c r="F24" s="290">
        <f t="shared" si="0"/>
        <v>9494100</v>
      </c>
      <c r="G24" s="291">
        <v>407</v>
      </c>
      <c r="H24" s="365">
        <f>'enrolment vs availed_UPY'!Q23-'enrolment vs availed_UPY'!O23</f>
        <v>9089100</v>
      </c>
      <c r="I24" s="289">
        <v>225</v>
      </c>
      <c r="J24" s="365">
        <f t="shared" si="1"/>
        <v>40396</v>
      </c>
    </row>
    <row r="25" spans="1:10" ht="12.75">
      <c r="A25" s="201">
        <f t="shared" si="2"/>
        <v>14</v>
      </c>
      <c r="B25" s="201" t="s">
        <v>636</v>
      </c>
      <c r="C25" s="291">
        <v>219</v>
      </c>
      <c r="D25" s="291">
        <v>16356</v>
      </c>
      <c r="E25" s="8">
        <v>225</v>
      </c>
      <c r="F25" s="290">
        <f t="shared" si="0"/>
        <v>3680100</v>
      </c>
      <c r="G25" s="291">
        <v>219</v>
      </c>
      <c r="H25" s="365">
        <f>'enrolment vs availed_UPY'!Q24-'enrolment vs availed_UPY'!O24</f>
        <v>3385800</v>
      </c>
      <c r="I25" s="289">
        <v>225</v>
      </c>
      <c r="J25" s="365">
        <f t="shared" si="1"/>
        <v>15048</v>
      </c>
    </row>
    <row r="26" spans="1:10" ht="12.75">
      <c r="A26" s="201">
        <f t="shared" si="2"/>
        <v>15</v>
      </c>
      <c r="B26" s="201" t="s">
        <v>608</v>
      </c>
      <c r="C26" s="291">
        <v>282</v>
      </c>
      <c r="D26" s="291">
        <v>24610</v>
      </c>
      <c r="E26" s="8">
        <v>225</v>
      </c>
      <c r="F26" s="290">
        <f t="shared" si="0"/>
        <v>5537250</v>
      </c>
      <c r="G26" s="291">
        <v>282</v>
      </c>
      <c r="H26" s="365">
        <f>'enrolment vs availed_UPY'!Q25-'enrolment vs availed_UPY'!O25</f>
        <v>5265675</v>
      </c>
      <c r="I26" s="289">
        <v>225</v>
      </c>
      <c r="J26" s="365">
        <f t="shared" si="1"/>
        <v>23403</v>
      </c>
    </row>
    <row r="27" spans="1:10" ht="12.75">
      <c r="A27" s="201">
        <f t="shared" si="2"/>
        <v>16</v>
      </c>
      <c r="B27" s="201" t="s">
        <v>609</v>
      </c>
      <c r="C27" s="292">
        <v>152</v>
      </c>
      <c r="D27" s="292">
        <v>25847</v>
      </c>
      <c r="E27" s="8">
        <v>225</v>
      </c>
      <c r="F27" s="290">
        <f t="shared" si="0"/>
        <v>5815575</v>
      </c>
      <c r="G27" s="291">
        <v>152</v>
      </c>
      <c r="H27" s="365">
        <f>'enrolment vs availed_UPY'!Q26-'enrolment vs availed_UPY'!O26</f>
        <v>5589225</v>
      </c>
      <c r="I27" s="289">
        <v>225</v>
      </c>
      <c r="J27" s="365">
        <f t="shared" si="1"/>
        <v>24841</v>
      </c>
    </row>
    <row r="28" spans="1:10" ht="12.75">
      <c r="A28" s="201">
        <f t="shared" si="2"/>
        <v>17</v>
      </c>
      <c r="B28" s="201" t="s">
        <v>610</v>
      </c>
      <c r="C28" s="292">
        <v>268</v>
      </c>
      <c r="D28" s="292">
        <v>20426</v>
      </c>
      <c r="E28" s="8">
        <v>225</v>
      </c>
      <c r="F28" s="290">
        <f t="shared" si="0"/>
        <v>4595850</v>
      </c>
      <c r="G28" s="291">
        <v>268</v>
      </c>
      <c r="H28" s="365">
        <f>'enrolment vs availed_UPY'!Q27-'enrolment vs availed_UPY'!O27</f>
        <v>4331025</v>
      </c>
      <c r="I28" s="289">
        <v>225</v>
      </c>
      <c r="J28" s="365">
        <f t="shared" si="1"/>
        <v>19249</v>
      </c>
    </row>
    <row r="29" spans="1:10" ht="12.75">
      <c r="A29" s="201">
        <f t="shared" si="2"/>
        <v>18</v>
      </c>
      <c r="B29" s="201" t="s">
        <v>611</v>
      </c>
      <c r="C29" s="292">
        <v>402</v>
      </c>
      <c r="D29" s="292">
        <v>32577</v>
      </c>
      <c r="E29" s="8">
        <v>225</v>
      </c>
      <c r="F29" s="290">
        <f t="shared" si="0"/>
        <v>7329825</v>
      </c>
      <c r="G29" s="291">
        <v>389</v>
      </c>
      <c r="H29" s="365">
        <f>'enrolment vs availed_UPY'!Q28-'enrolment vs availed_UPY'!O28</f>
        <v>7051950</v>
      </c>
      <c r="I29" s="289">
        <v>225</v>
      </c>
      <c r="J29" s="365">
        <f t="shared" si="1"/>
        <v>31342</v>
      </c>
    </row>
    <row r="30" spans="1:10" ht="12.75">
      <c r="A30" s="201">
        <f t="shared" si="2"/>
        <v>19</v>
      </c>
      <c r="B30" s="201" t="s">
        <v>637</v>
      </c>
      <c r="C30" s="292">
        <v>211</v>
      </c>
      <c r="D30" s="292">
        <v>15139</v>
      </c>
      <c r="E30" s="8">
        <v>225</v>
      </c>
      <c r="F30" s="290">
        <f t="shared" si="0"/>
        <v>3406275</v>
      </c>
      <c r="G30" s="291">
        <v>210</v>
      </c>
      <c r="H30" s="365">
        <f>'enrolment vs availed_UPY'!Q29-'enrolment vs availed_UPY'!O29</f>
        <v>3176550</v>
      </c>
      <c r="I30" s="289">
        <v>225</v>
      </c>
      <c r="J30" s="365">
        <f t="shared" si="1"/>
        <v>14118</v>
      </c>
    </row>
    <row r="31" spans="1:10" ht="12.75">
      <c r="A31" s="201">
        <f t="shared" si="2"/>
        <v>20</v>
      </c>
      <c r="B31" s="201" t="s">
        <v>612</v>
      </c>
      <c r="C31" s="292">
        <v>419</v>
      </c>
      <c r="D31" s="292">
        <v>32271</v>
      </c>
      <c r="E31" s="8">
        <v>225</v>
      </c>
      <c r="F31" s="290">
        <f t="shared" si="0"/>
        <v>7260975</v>
      </c>
      <c r="G31" s="291">
        <v>417</v>
      </c>
      <c r="H31" s="365">
        <f>'enrolment vs availed_UPY'!Q30-'enrolment vs availed_UPY'!O30</f>
        <v>6857325</v>
      </c>
      <c r="I31" s="289">
        <v>225</v>
      </c>
      <c r="J31" s="365">
        <f t="shared" si="1"/>
        <v>30477</v>
      </c>
    </row>
    <row r="32" spans="1:10" ht="12.75">
      <c r="A32" s="201">
        <f t="shared" si="2"/>
        <v>21</v>
      </c>
      <c r="B32" s="201" t="s">
        <v>613</v>
      </c>
      <c r="C32" s="292">
        <v>205</v>
      </c>
      <c r="D32" s="292">
        <v>11637</v>
      </c>
      <c r="E32" s="8">
        <v>225</v>
      </c>
      <c r="F32" s="290">
        <f t="shared" si="0"/>
        <v>2618325</v>
      </c>
      <c r="G32" s="291">
        <v>203</v>
      </c>
      <c r="H32" s="365">
        <f>'enrolment vs availed_UPY'!Q31-'enrolment vs availed_UPY'!O31</f>
        <v>2363850</v>
      </c>
      <c r="I32" s="289">
        <v>225</v>
      </c>
      <c r="J32" s="365">
        <f t="shared" si="1"/>
        <v>10506</v>
      </c>
    </row>
    <row r="33" spans="1:10" ht="12.75">
      <c r="A33" s="201">
        <f t="shared" si="2"/>
        <v>22</v>
      </c>
      <c r="B33" s="201" t="s">
        <v>614</v>
      </c>
      <c r="C33" s="292">
        <v>159</v>
      </c>
      <c r="D33" s="292">
        <v>10308</v>
      </c>
      <c r="E33" s="8">
        <v>225</v>
      </c>
      <c r="F33" s="290">
        <f t="shared" si="0"/>
        <v>2319300</v>
      </c>
      <c r="G33" s="291">
        <v>159</v>
      </c>
      <c r="H33" s="365">
        <f>'enrolment vs availed_UPY'!Q32-'enrolment vs availed_UPY'!O32</f>
        <v>2173050</v>
      </c>
      <c r="I33" s="289">
        <v>225</v>
      </c>
      <c r="J33" s="365">
        <f t="shared" si="1"/>
        <v>9658</v>
      </c>
    </row>
    <row r="34" spans="1:10" ht="12.75">
      <c r="A34" s="201">
        <f t="shared" si="2"/>
        <v>23</v>
      </c>
      <c r="B34" s="201" t="s">
        <v>615</v>
      </c>
      <c r="C34" s="292">
        <v>457</v>
      </c>
      <c r="D34" s="292">
        <v>46546</v>
      </c>
      <c r="E34" s="8">
        <v>225</v>
      </c>
      <c r="F34" s="290">
        <f t="shared" si="0"/>
        <v>10472850</v>
      </c>
      <c r="G34" s="291">
        <v>457</v>
      </c>
      <c r="H34" s="365">
        <f>'enrolment vs availed_UPY'!Q33-'enrolment vs availed_UPY'!O33</f>
        <v>10116000</v>
      </c>
      <c r="I34" s="289">
        <v>225</v>
      </c>
      <c r="J34" s="365">
        <f t="shared" si="1"/>
        <v>44960</v>
      </c>
    </row>
    <row r="35" spans="1:10" ht="12.75">
      <c r="A35" s="201">
        <f t="shared" si="2"/>
        <v>24</v>
      </c>
      <c r="B35" s="201" t="s">
        <v>616</v>
      </c>
      <c r="C35" s="292">
        <v>415</v>
      </c>
      <c r="D35" s="292">
        <v>35067</v>
      </c>
      <c r="E35" s="8">
        <v>225</v>
      </c>
      <c r="F35" s="290">
        <f t="shared" si="0"/>
        <v>7890075</v>
      </c>
      <c r="G35" s="291">
        <v>415</v>
      </c>
      <c r="H35" s="365">
        <f>'enrolment vs availed_UPY'!Q34-'enrolment vs availed_UPY'!O34</f>
        <v>7436025</v>
      </c>
      <c r="I35" s="289">
        <v>225</v>
      </c>
      <c r="J35" s="365">
        <f t="shared" si="1"/>
        <v>33049</v>
      </c>
    </row>
    <row r="36" spans="1:10" ht="12.75">
      <c r="A36" s="201">
        <f t="shared" si="2"/>
        <v>25</v>
      </c>
      <c r="B36" s="201" t="s">
        <v>617</v>
      </c>
      <c r="C36" s="292">
        <v>355</v>
      </c>
      <c r="D36" s="292">
        <v>26720</v>
      </c>
      <c r="E36" s="8">
        <v>225</v>
      </c>
      <c r="F36" s="290">
        <f t="shared" si="0"/>
        <v>6012000</v>
      </c>
      <c r="G36" s="291">
        <v>355</v>
      </c>
      <c r="H36" s="365">
        <f>'enrolment vs availed_UPY'!Q35-'enrolment vs availed_UPY'!O35</f>
        <v>5645475</v>
      </c>
      <c r="I36" s="289">
        <v>225</v>
      </c>
      <c r="J36" s="365">
        <f t="shared" si="1"/>
        <v>25091</v>
      </c>
    </row>
    <row r="37" spans="1:10" ht="12.75">
      <c r="A37" s="201">
        <f t="shared" si="2"/>
        <v>26</v>
      </c>
      <c r="B37" s="201" t="s">
        <v>618</v>
      </c>
      <c r="C37" s="292">
        <v>281</v>
      </c>
      <c r="D37" s="292">
        <v>19224</v>
      </c>
      <c r="E37" s="8">
        <v>225</v>
      </c>
      <c r="F37" s="290">
        <f t="shared" si="0"/>
        <v>4325400</v>
      </c>
      <c r="G37" s="291">
        <v>281</v>
      </c>
      <c r="H37" s="365">
        <f>'enrolment vs availed_UPY'!Q36-'enrolment vs availed_UPY'!O36</f>
        <v>4238325</v>
      </c>
      <c r="I37" s="289">
        <v>225</v>
      </c>
      <c r="J37" s="365">
        <f t="shared" si="1"/>
        <v>18837</v>
      </c>
    </row>
    <row r="38" spans="1:10" ht="12.75">
      <c r="A38" s="201">
        <f t="shared" si="2"/>
        <v>27</v>
      </c>
      <c r="B38" s="201" t="s">
        <v>619</v>
      </c>
      <c r="C38" s="292">
        <v>301</v>
      </c>
      <c r="D38" s="292">
        <v>28950</v>
      </c>
      <c r="E38" s="8">
        <v>225</v>
      </c>
      <c r="F38" s="290">
        <f t="shared" si="0"/>
        <v>6513750</v>
      </c>
      <c r="G38" s="291">
        <v>301</v>
      </c>
      <c r="H38" s="365">
        <f>'enrolment vs availed_UPY'!Q37-'enrolment vs availed_UPY'!O37</f>
        <v>6291225</v>
      </c>
      <c r="I38" s="289">
        <v>225</v>
      </c>
      <c r="J38" s="365">
        <f t="shared" si="1"/>
        <v>27961</v>
      </c>
    </row>
    <row r="39" spans="1:10" ht="12.75">
      <c r="A39" s="201">
        <f t="shared" si="2"/>
        <v>28</v>
      </c>
      <c r="B39" s="143" t="s">
        <v>620</v>
      </c>
      <c r="C39" s="292">
        <v>163</v>
      </c>
      <c r="D39" s="292">
        <v>14113</v>
      </c>
      <c r="E39" s="8">
        <v>225</v>
      </c>
      <c r="F39" s="290">
        <f t="shared" si="0"/>
        <v>3175425</v>
      </c>
      <c r="G39" s="291">
        <v>163</v>
      </c>
      <c r="H39" s="365">
        <f>'enrolment vs availed_UPY'!Q38-'enrolment vs availed_UPY'!O38</f>
        <v>2913975</v>
      </c>
      <c r="I39" s="289">
        <v>225</v>
      </c>
      <c r="J39" s="365">
        <f t="shared" si="1"/>
        <v>12951</v>
      </c>
    </row>
    <row r="40" spans="1:10" ht="12.75">
      <c r="A40" s="201">
        <f t="shared" si="2"/>
        <v>29</v>
      </c>
      <c r="B40" s="143" t="s">
        <v>621</v>
      </c>
      <c r="C40" s="292">
        <v>224</v>
      </c>
      <c r="D40" s="292">
        <v>10609</v>
      </c>
      <c r="E40" s="8">
        <v>225</v>
      </c>
      <c r="F40" s="290">
        <f t="shared" si="0"/>
        <v>2387025</v>
      </c>
      <c r="G40" s="291">
        <v>222</v>
      </c>
      <c r="H40" s="365">
        <f>'enrolment vs availed_UPY'!Q39-'enrolment vs availed_UPY'!O39</f>
        <v>2262600</v>
      </c>
      <c r="I40" s="289">
        <v>225</v>
      </c>
      <c r="J40" s="365">
        <f t="shared" si="1"/>
        <v>10056</v>
      </c>
    </row>
    <row r="41" spans="1:10" ht="12.75">
      <c r="A41" s="201">
        <f t="shared" si="2"/>
        <v>30</v>
      </c>
      <c r="B41" s="143" t="s">
        <v>622</v>
      </c>
      <c r="C41" s="292">
        <v>219</v>
      </c>
      <c r="D41" s="292">
        <v>13901</v>
      </c>
      <c r="E41" s="8">
        <v>225</v>
      </c>
      <c r="F41" s="290">
        <f t="shared" si="0"/>
        <v>3127725</v>
      </c>
      <c r="G41" s="291">
        <v>202</v>
      </c>
      <c r="H41" s="365">
        <f>'enrolment vs availed_UPY'!Q40-'enrolment vs availed_UPY'!O40</f>
        <v>2996325</v>
      </c>
      <c r="I41" s="289">
        <v>225</v>
      </c>
      <c r="J41" s="365">
        <f t="shared" si="1"/>
        <v>13317</v>
      </c>
    </row>
    <row r="42" spans="1:10" ht="12.75">
      <c r="A42" s="201">
        <f t="shared" si="2"/>
        <v>31</v>
      </c>
      <c r="B42" s="143" t="s">
        <v>623</v>
      </c>
      <c r="C42" s="292">
        <v>229</v>
      </c>
      <c r="D42" s="292">
        <v>16089</v>
      </c>
      <c r="E42" s="8">
        <v>225</v>
      </c>
      <c r="F42" s="290">
        <f t="shared" si="0"/>
        <v>3620025</v>
      </c>
      <c r="G42" s="291">
        <v>225</v>
      </c>
      <c r="H42" s="365">
        <f>'enrolment vs availed_UPY'!Q41-'enrolment vs availed_UPY'!O41</f>
        <v>3316500</v>
      </c>
      <c r="I42" s="289">
        <v>225</v>
      </c>
      <c r="J42" s="365">
        <f t="shared" si="1"/>
        <v>14740</v>
      </c>
    </row>
    <row r="43" spans="1:10" ht="12.75">
      <c r="A43" s="150"/>
      <c r="B43" s="150" t="s">
        <v>624</v>
      </c>
      <c r="C43" s="17">
        <f>SUM(C12:C42)</f>
        <v>8504</v>
      </c>
      <c r="D43" s="17">
        <f aca="true" t="shared" si="3" ref="D43:J43">SUM(D12:D42)</f>
        <v>672000</v>
      </c>
      <c r="E43" s="17">
        <v>225</v>
      </c>
      <c r="F43" s="17">
        <f t="shared" si="3"/>
        <v>151200000</v>
      </c>
      <c r="G43" s="17">
        <f t="shared" si="3"/>
        <v>8404</v>
      </c>
      <c r="H43" s="17">
        <f t="shared" si="3"/>
        <v>142953975</v>
      </c>
      <c r="I43" s="17">
        <v>225</v>
      </c>
      <c r="J43" s="346">
        <f t="shared" si="3"/>
        <v>635351</v>
      </c>
    </row>
    <row r="44" spans="1:10" ht="12.75">
      <c r="A44" s="3"/>
      <c r="B44" s="18"/>
      <c r="C44" s="18"/>
      <c r="D44" s="348"/>
      <c r="E44" s="10"/>
      <c r="F44" s="10"/>
      <c r="G44" s="10"/>
      <c r="H44" s="10"/>
      <c r="I44" s="10"/>
      <c r="J44" s="10"/>
    </row>
    <row r="45" spans="1:10" ht="12.75">
      <c r="A45" s="160" t="s">
        <v>755</v>
      </c>
      <c r="B45" s="18"/>
      <c r="C45" s="18"/>
      <c r="D45" s="10"/>
      <c r="E45" s="10"/>
      <c r="F45" s="10"/>
      <c r="G45" s="10"/>
      <c r="H45" s="10"/>
      <c r="I45" s="10"/>
      <c r="J45" s="10"/>
    </row>
    <row r="46" spans="1:10" ht="12.75">
      <c r="A46" s="361"/>
      <c r="B46" s="361"/>
      <c r="C46" s="361"/>
      <c r="D46" s="361"/>
      <c r="E46" s="361"/>
      <c r="F46" s="361"/>
      <c r="G46" s="361"/>
      <c r="H46" s="361"/>
      <c r="I46" s="361"/>
      <c r="J46" s="361"/>
    </row>
    <row r="47" spans="7:10" ht="15.75">
      <c r="G47" s="621" t="s">
        <v>860</v>
      </c>
      <c r="H47" s="621"/>
      <c r="I47" s="621"/>
      <c r="J47" s="621"/>
    </row>
    <row r="48" spans="7:10" ht="15.75">
      <c r="G48" s="621" t="s">
        <v>653</v>
      </c>
      <c r="H48" s="621"/>
      <c r="I48" s="621"/>
      <c r="J48" s="621"/>
    </row>
  </sheetData>
  <sheetProtection/>
  <mergeCells count="12">
    <mergeCell ref="C9:F9"/>
    <mergeCell ref="G9:J9"/>
    <mergeCell ref="G47:J47"/>
    <mergeCell ref="G48:J48"/>
    <mergeCell ref="E1:I1"/>
    <mergeCell ref="A2:J2"/>
    <mergeCell ref="A3:J3"/>
    <mergeCell ref="A5:J5"/>
    <mergeCell ref="A8:B8"/>
    <mergeCell ref="H8:J8"/>
    <mergeCell ref="A9:A10"/>
    <mergeCell ref="B9:B10"/>
  </mergeCells>
  <printOptions horizontalCentered="1"/>
  <pageMargins left="0.35" right="0.49" top="0.53" bottom="0" header="0.31496062992125984" footer="0.3149606299212598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9"/>
  <sheetViews>
    <sheetView view="pageBreakPreview" zoomScale="90" zoomScaleNormal="70" zoomScaleSheetLayoutView="90" zoomScalePageLayoutView="0" workbookViewId="0" topLeftCell="A13">
      <selection activeCell="P26" sqref="P26"/>
    </sheetView>
  </sheetViews>
  <sheetFormatPr defaultColWidth="9.140625" defaultRowHeight="12.75"/>
  <cols>
    <col min="1" max="1" width="7.421875" style="6" customWidth="1"/>
    <col min="2" max="2" width="20.00390625" style="6" customWidth="1"/>
    <col min="3" max="3" width="11.00390625" style="6" customWidth="1"/>
    <col min="4" max="4" width="10.00390625" style="6" customWidth="1"/>
    <col min="5" max="5" width="13.140625" style="6" customWidth="1"/>
    <col min="6" max="6" width="14.28125" style="6" customWidth="1"/>
    <col min="7" max="7" width="13.28125" style="6" customWidth="1"/>
    <col min="8" max="8" width="14.7109375" style="6" customWidth="1"/>
    <col min="9" max="9" width="16.7109375" style="6" customWidth="1"/>
    <col min="10" max="10" width="19.28125" style="6" customWidth="1"/>
    <col min="11" max="16384" width="9.140625" style="6" customWidth="1"/>
  </cols>
  <sheetData>
    <row r="1" spans="5:10" ht="12.75">
      <c r="E1" s="560"/>
      <c r="F1" s="560"/>
      <c r="G1" s="560"/>
      <c r="H1" s="560"/>
      <c r="I1" s="560"/>
      <c r="J1" s="433" t="s">
        <v>354</v>
      </c>
    </row>
    <row r="2" spans="1:10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4.25" customHeight="1"/>
    <row r="5" spans="1:10" ht="19.5" customHeight="1">
      <c r="A5" s="652" t="s">
        <v>710</v>
      </c>
      <c r="B5" s="652"/>
      <c r="C5" s="652"/>
      <c r="D5" s="652"/>
      <c r="E5" s="652"/>
      <c r="F5" s="652"/>
      <c r="G5" s="652"/>
      <c r="H5" s="652"/>
      <c r="I5" s="652"/>
      <c r="J5" s="652"/>
    </row>
    <row r="6" spans="1:10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ht="12" customHeight="1">
      <c r="A7" s="5" t="s">
        <v>666</v>
      </c>
    </row>
    <row r="8" spans="1:10" ht="12.75">
      <c r="A8" s="559"/>
      <c r="B8" s="559"/>
      <c r="C8" s="141"/>
      <c r="H8" s="640" t="s">
        <v>750</v>
      </c>
      <c r="I8" s="640"/>
      <c r="J8" s="640"/>
    </row>
    <row r="9" spans="1:16" ht="12.75">
      <c r="A9" s="530" t="s">
        <v>2</v>
      </c>
      <c r="B9" s="530" t="s">
        <v>3</v>
      </c>
      <c r="C9" s="541" t="s">
        <v>711</v>
      </c>
      <c r="D9" s="603"/>
      <c r="E9" s="603"/>
      <c r="F9" s="542"/>
      <c r="G9" s="541" t="s">
        <v>98</v>
      </c>
      <c r="H9" s="603"/>
      <c r="I9" s="603"/>
      <c r="J9" s="542"/>
      <c r="O9" s="8"/>
      <c r="P9" s="10"/>
    </row>
    <row r="10" spans="1:10" ht="77.25" customHeight="1">
      <c r="A10" s="530"/>
      <c r="B10" s="530"/>
      <c r="C10" s="1" t="s">
        <v>181</v>
      </c>
      <c r="D10" s="1" t="s">
        <v>14</v>
      </c>
      <c r="E10" s="121" t="s">
        <v>783</v>
      </c>
      <c r="F10" s="151" t="s">
        <v>198</v>
      </c>
      <c r="G10" s="1" t="s">
        <v>181</v>
      </c>
      <c r="H10" s="175" t="s">
        <v>15</v>
      </c>
      <c r="I10" s="174" t="s">
        <v>106</v>
      </c>
      <c r="J10" s="1" t="s">
        <v>199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51">
        <v>6</v>
      </c>
      <c r="G11" s="1">
        <v>7</v>
      </c>
      <c r="H11" s="152">
        <v>8</v>
      </c>
      <c r="I11" s="1">
        <v>9</v>
      </c>
      <c r="J11" s="1">
        <v>10</v>
      </c>
    </row>
    <row r="12" spans="1:10" ht="12.75">
      <c r="A12" s="201">
        <v>1</v>
      </c>
      <c r="B12" s="201" t="s">
        <v>633</v>
      </c>
      <c r="C12" s="291">
        <v>0</v>
      </c>
      <c r="D12" s="291">
        <v>0</v>
      </c>
      <c r="E12" s="291">
        <v>295</v>
      </c>
      <c r="F12" s="290">
        <f>D12*E12</f>
        <v>0</v>
      </c>
      <c r="G12" s="291">
        <v>0</v>
      </c>
      <c r="H12" s="413">
        <f>'enrolment vs availed_UPY'!O11</f>
        <v>0</v>
      </c>
      <c r="I12" s="288">
        <v>295</v>
      </c>
      <c r="J12" s="288">
        <f>H12/I12</f>
        <v>0</v>
      </c>
    </row>
    <row r="13" spans="1:10" ht="12.75">
      <c r="A13" s="201">
        <f>A12+1</f>
        <v>2</v>
      </c>
      <c r="B13" s="201" t="s">
        <v>598</v>
      </c>
      <c r="C13" s="291">
        <v>14</v>
      </c>
      <c r="D13" s="291">
        <v>399</v>
      </c>
      <c r="E13" s="291">
        <v>295</v>
      </c>
      <c r="F13" s="290">
        <f aca="true" t="shared" si="0" ref="F13:F42">D13*E13</f>
        <v>117705</v>
      </c>
      <c r="G13" s="291">
        <v>14</v>
      </c>
      <c r="H13" s="413">
        <f>'enrolment vs availed_UPY'!O12</f>
        <v>107675</v>
      </c>
      <c r="I13" s="288">
        <v>295</v>
      </c>
      <c r="J13" s="288">
        <f aca="true" t="shared" si="1" ref="J13:J42">H13/I13</f>
        <v>365</v>
      </c>
    </row>
    <row r="14" spans="1:10" ht="12.75">
      <c r="A14" s="201">
        <f aca="true" t="shared" si="2" ref="A14:A42">A13+1</f>
        <v>3</v>
      </c>
      <c r="B14" s="201" t="s">
        <v>634</v>
      </c>
      <c r="C14" s="291">
        <v>0</v>
      </c>
      <c r="D14" s="291">
        <v>0</v>
      </c>
      <c r="E14" s="291">
        <v>295</v>
      </c>
      <c r="F14" s="290">
        <f t="shared" si="0"/>
        <v>0</v>
      </c>
      <c r="G14" s="291">
        <v>0</v>
      </c>
      <c r="H14" s="413">
        <f>'enrolment vs availed_UPY'!O13</f>
        <v>0</v>
      </c>
      <c r="I14" s="288">
        <v>295</v>
      </c>
      <c r="J14" s="288">
        <f t="shared" si="1"/>
        <v>0</v>
      </c>
    </row>
    <row r="15" spans="1:10" ht="12.75">
      <c r="A15" s="201">
        <f t="shared" si="2"/>
        <v>4</v>
      </c>
      <c r="B15" s="201" t="s">
        <v>599</v>
      </c>
      <c r="C15" s="291">
        <v>0</v>
      </c>
      <c r="D15" s="291">
        <v>0</v>
      </c>
      <c r="E15" s="291">
        <v>295</v>
      </c>
      <c r="F15" s="290">
        <f t="shared" si="0"/>
        <v>0</v>
      </c>
      <c r="G15" s="291">
        <v>0</v>
      </c>
      <c r="H15" s="413">
        <f>'enrolment vs availed_UPY'!O14</f>
        <v>0</v>
      </c>
      <c r="I15" s="288">
        <v>295</v>
      </c>
      <c r="J15" s="288">
        <f t="shared" si="1"/>
        <v>0</v>
      </c>
    </row>
    <row r="16" spans="1:10" ht="12.75">
      <c r="A16" s="201">
        <f t="shared" si="2"/>
        <v>5</v>
      </c>
      <c r="B16" s="201" t="s">
        <v>600</v>
      </c>
      <c r="C16" s="291">
        <v>0</v>
      </c>
      <c r="D16" s="291">
        <v>0</v>
      </c>
      <c r="E16" s="291">
        <v>295</v>
      </c>
      <c r="F16" s="290">
        <f t="shared" si="0"/>
        <v>0</v>
      </c>
      <c r="G16" s="291">
        <v>0</v>
      </c>
      <c r="H16" s="413">
        <f>'enrolment vs availed_UPY'!O15</f>
        <v>0</v>
      </c>
      <c r="I16" s="288">
        <v>295</v>
      </c>
      <c r="J16" s="288">
        <f t="shared" si="1"/>
        <v>0</v>
      </c>
    </row>
    <row r="17" spans="1:10" ht="12.75">
      <c r="A17" s="201">
        <f t="shared" si="2"/>
        <v>6</v>
      </c>
      <c r="B17" s="201" t="s">
        <v>601</v>
      </c>
      <c r="C17" s="291">
        <v>1</v>
      </c>
      <c r="D17" s="291">
        <v>38</v>
      </c>
      <c r="E17" s="291">
        <v>295</v>
      </c>
      <c r="F17" s="290">
        <f t="shared" si="0"/>
        <v>11210</v>
      </c>
      <c r="G17" s="291">
        <v>1</v>
      </c>
      <c r="H17" s="413">
        <f>'enrolment vs availed_UPY'!O16</f>
        <v>11210</v>
      </c>
      <c r="I17" s="288">
        <v>295</v>
      </c>
      <c r="J17" s="288">
        <f t="shared" si="1"/>
        <v>38</v>
      </c>
    </row>
    <row r="18" spans="1:10" ht="12.75">
      <c r="A18" s="201">
        <f t="shared" si="2"/>
        <v>7</v>
      </c>
      <c r="B18" s="201" t="s">
        <v>602</v>
      </c>
      <c r="C18" s="291">
        <v>0</v>
      </c>
      <c r="D18" s="291">
        <v>0</v>
      </c>
      <c r="E18" s="291">
        <v>295</v>
      </c>
      <c r="F18" s="290">
        <f t="shared" si="0"/>
        <v>0</v>
      </c>
      <c r="G18" s="291">
        <v>0</v>
      </c>
      <c r="H18" s="413">
        <f>'enrolment vs availed_UPY'!O17</f>
        <v>0</v>
      </c>
      <c r="I18" s="288">
        <v>295</v>
      </c>
      <c r="J18" s="288">
        <f t="shared" si="1"/>
        <v>0</v>
      </c>
    </row>
    <row r="19" spans="1:10" ht="12.75">
      <c r="A19" s="201">
        <f t="shared" si="2"/>
        <v>8</v>
      </c>
      <c r="B19" s="201" t="s">
        <v>603</v>
      </c>
      <c r="C19" s="291">
        <v>7</v>
      </c>
      <c r="D19" s="291">
        <v>199</v>
      </c>
      <c r="E19" s="291">
        <v>295</v>
      </c>
      <c r="F19" s="290">
        <f t="shared" si="0"/>
        <v>58705</v>
      </c>
      <c r="G19" s="291">
        <v>7</v>
      </c>
      <c r="H19" s="413">
        <f>'enrolment vs availed_UPY'!O18</f>
        <v>53100</v>
      </c>
      <c r="I19" s="288">
        <v>295</v>
      </c>
      <c r="J19" s="288">
        <f t="shared" si="1"/>
        <v>180</v>
      </c>
    </row>
    <row r="20" spans="1:10" ht="12.75">
      <c r="A20" s="201">
        <f t="shared" si="2"/>
        <v>9</v>
      </c>
      <c r="B20" s="201" t="s">
        <v>604</v>
      </c>
      <c r="C20" s="291">
        <v>0</v>
      </c>
      <c r="D20" s="291">
        <v>0</v>
      </c>
      <c r="E20" s="291">
        <v>295</v>
      </c>
      <c r="F20" s="290">
        <f t="shared" si="0"/>
        <v>0</v>
      </c>
      <c r="G20" s="291">
        <v>0</v>
      </c>
      <c r="H20" s="413">
        <f>'enrolment vs availed_UPY'!O19</f>
        <v>0</v>
      </c>
      <c r="I20" s="288">
        <v>295</v>
      </c>
      <c r="J20" s="288">
        <f t="shared" si="1"/>
        <v>0</v>
      </c>
    </row>
    <row r="21" spans="1:10" ht="12.75">
      <c r="A21" s="201">
        <f t="shared" si="2"/>
        <v>10</v>
      </c>
      <c r="B21" s="201" t="s">
        <v>605</v>
      </c>
      <c r="C21" s="291">
        <v>4</v>
      </c>
      <c r="D21" s="291">
        <v>205</v>
      </c>
      <c r="E21" s="291">
        <v>295</v>
      </c>
      <c r="F21" s="290">
        <f t="shared" si="0"/>
        <v>60475</v>
      </c>
      <c r="G21" s="291">
        <v>4</v>
      </c>
      <c r="H21" s="413">
        <f>'enrolment vs availed_UPY'!O20</f>
        <v>55460</v>
      </c>
      <c r="I21" s="288">
        <v>295</v>
      </c>
      <c r="J21" s="288">
        <f t="shared" si="1"/>
        <v>188</v>
      </c>
    </row>
    <row r="22" spans="1:10" ht="12.75">
      <c r="A22" s="201">
        <f t="shared" si="2"/>
        <v>11</v>
      </c>
      <c r="B22" s="201" t="s">
        <v>635</v>
      </c>
      <c r="C22" s="291">
        <v>0</v>
      </c>
      <c r="D22" s="291">
        <v>0</v>
      </c>
      <c r="E22" s="291">
        <v>295</v>
      </c>
      <c r="F22" s="290">
        <f t="shared" si="0"/>
        <v>0</v>
      </c>
      <c r="G22" s="291">
        <v>0</v>
      </c>
      <c r="H22" s="413">
        <f>'enrolment vs availed_UPY'!O21</f>
        <v>0</v>
      </c>
      <c r="I22" s="288">
        <v>295</v>
      </c>
      <c r="J22" s="288">
        <f t="shared" si="1"/>
        <v>0</v>
      </c>
    </row>
    <row r="23" spans="1:10" ht="12.75">
      <c r="A23" s="201">
        <f t="shared" si="2"/>
        <v>12</v>
      </c>
      <c r="B23" s="201" t="s">
        <v>606</v>
      </c>
      <c r="C23" s="291">
        <v>5</v>
      </c>
      <c r="D23" s="291">
        <v>185</v>
      </c>
      <c r="E23" s="291">
        <v>295</v>
      </c>
      <c r="F23" s="290">
        <f t="shared" si="0"/>
        <v>54575</v>
      </c>
      <c r="G23" s="291">
        <v>5</v>
      </c>
      <c r="H23" s="413">
        <f>'enrolment vs availed_UPY'!O22</f>
        <v>50740</v>
      </c>
      <c r="I23" s="288">
        <v>295</v>
      </c>
      <c r="J23" s="288">
        <f t="shared" si="1"/>
        <v>172</v>
      </c>
    </row>
    <row r="24" spans="1:10" ht="12.75">
      <c r="A24" s="201">
        <f t="shared" si="2"/>
        <v>13</v>
      </c>
      <c r="B24" s="201" t="s">
        <v>607</v>
      </c>
      <c r="C24" s="291">
        <v>33</v>
      </c>
      <c r="D24" s="291">
        <v>835</v>
      </c>
      <c r="E24" s="291">
        <v>295</v>
      </c>
      <c r="F24" s="290">
        <f t="shared" si="0"/>
        <v>246325</v>
      </c>
      <c r="G24" s="291">
        <v>1</v>
      </c>
      <c r="H24" s="413">
        <f>'enrolment vs availed_UPY'!O23</f>
        <v>268450</v>
      </c>
      <c r="I24" s="288">
        <v>295</v>
      </c>
      <c r="J24" s="288">
        <f t="shared" si="1"/>
        <v>910</v>
      </c>
    </row>
    <row r="25" spans="1:16" ht="12.75">
      <c r="A25" s="201">
        <f t="shared" si="2"/>
        <v>14</v>
      </c>
      <c r="B25" s="201" t="s">
        <v>636</v>
      </c>
      <c r="C25" s="291">
        <v>0</v>
      </c>
      <c r="D25" s="291">
        <v>0</v>
      </c>
      <c r="E25" s="291">
        <v>295</v>
      </c>
      <c r="F25" s="290">
        <f t="shared" si="0"/>
        <v>0</v>
      </c>
      <c r="G25" s="291">
        <v>3</v>
      </c>
      <c r="H25" s="413">
        <f>'enrolment vs availed_UPY'!O24</f>
        <v>0</v>
      </c>
      <c r="I25" s="288">
        <v>295</v>
      </c>
      <c r="J25" s="288">
        <f t="shared" si="1"/>
        <v>0</v>
      </c>
      <c r="P25" s="6">
        <f>20105-46</f>
        <v>20059</v>
      </c>
    </row>
    <row r="26" spans="1:10" ht="12.75">
      <c r="A26" s="201">
        <f t="shared" si="2"/>
        <v>15</v>
      </c>
      <c r="B26" s="201" t="s">
        <v>608</v>
      </c>
      <c r="C26" s="291">
        <v>0</v>
      </c>
      <c r="D26" s="291">
        <v>0</v>
      </c>
      <c r="E26" s="291">
        <v>295</v>
      </c>
      <c r="F26" s="290">
        <f t="shared" si="0"/>
        <v>0</v>
      </c>
      <c r="G26" s="291">
        <v>0</v>
      </c>
      <c r="H26" s="413">
        <f>'enrolment vs availed_UPY'!O25</f>
        <v>0</v>
      </c>
      <c r="I26" s="288">
        <v>295</v>
      </c>
      <c r="J26" s="288">
        <f t="shared" si="1"/>
        <v>0</v>
      </c>
    </row>
    <row r="27" spans="1:10" ht="12.75">
      <c r="A27" s="201">
        <f t="shared" si="2"/>
        <v>16</v>
      </c>
      <c r="B27" s="201" t="s">
        <v>609</v>
      </c>
      <c r="C27" s="291">
        <v>0</v>
      </c>
      <c r="D27" s="291">
        <v>0</v>
      </c>
      <c r="E27" s="291">
        <v>295</v>
      </c>
      <c r="F27" s="290">
        <f t="shared" si="0"/>
        <v>0</v>
      </c>
      <c r="G27" s="291">
        <v>0</v>
      </c>
      <c r="H27" s="413">
        <f>'enrolment vs availed_UPY'!O26</f>
        <v>0</v>
      </c>
      <c r="I27" s="288">
        <v>295</v>
      </c>
      <c r="J27" s="288">
        <f t="shared" si="1"/>
        <v>0</v>
      </c>
    </row>
    <row r="28" spans="1:10" ht="12.75">
      <c r="A28" s="201">
        <f t="shared" si="2"/>
        <v>17</v>
      </c>
      <c r="B28" s="201" t="s">
        <v>610</v>
      </c>
      <c r="C28" s="292">
        <v>1</v>
      </c>
      <c r="D28" s="292">
        <v>25</v>
      </c>
      <c r="E28" s="291">
        <v>295</v>
      </c>
      <c r="F28" s="290">
        <f t="shared" si="0"/>
        <v>7375</v>
      </c>
      <c r="G28" s="291">
        <v>1</v>
      </c>
      <c r="H28" s="413">
        <f>'enrolment vs availed_UPY'!O27</f>
        <v>7375</v>
      </c>
      <c r="I28" s="288">
        <v>295</v>
      </c>
      <c r="J28" s="288">
        <f t="shared" si="1"/>
        <v>25</v>
      </c>
    </row>
    <row r="29" spans="1:10" ht="12.75">
      <c r="A29" s="201">
        <f t="shared" si="2"/>
        <v>18</v>
      </c>
      <c r="B29" s="201" t="s">
        <v>611</v>
      </c>
      <c r="C29" s="292">
        <v>0</v>
      </c>
      <c r="D29" s="292">
        <v>0</v>
      </c>
      <c r="E29" s="291">
        <v>295</v>
      </c>
      <c r="F29" s="290">
        <f t="shared" si="0"/>
        <v>0</v>
      </c>
      <c r="G29" s="291">
        <v>0</v>
      </c>
      <c r="H29" s="413">
        <f>'enrolment vs availed_UPY'!O28</f>
        <v>0</v>
      </c>
      <c r="I29" s="288">
        <v>295</v>
      </c>
      <c r="J29" s="288">
        <f t="shared" si="1"/>
        <v>0</v>
      </c>
    </row>
    <row r="30" spans="1:10" ht="12.75">
      <c r="A30" s="201">
        <f t="shared" si="2"/>
        <v>19</v>
      </c>
      <c r="B30" s="201" t="s">
        <v>637</v>
      </c>
      <c r="C30" s="292">
        <v>0</v>
      </c>
      <c r="D30" s="292">
        <v>0</v>
      </c>
      <c r="E30" s="291">
        <v>295</v>
      </c>
      <c r="F30" s="290">
        <f t="shared" si="0"/>
        <v>0</v>
      </c>
      <c r="G30" s="291">
        <v>0</v>
      </c>
      <c r="H30" s="413">
        <f>'enrolment vs availed_UPY'!O29</f>
        <v>0</v>
      </c>
      <c r="I30" s="288">
        <v>295</v>
      </c>
      <c r="J30" s="288">
        <f t="shared" si="1"/>
        <v>0</v>
      </c>
    </row>
    <row r="31" spans="1:10" ht="12.75">
      <c r="A31" s="201">
        <f t="shared" si="2"/>
        <v>20</v>
      </c>
      <c r="B31" s="201" t="s">
        <v>612</v>
      </c>
      <c r="C31" s="292">
        <v>10</v>
      </c>
      <c r="D31" s="292">
        <v>349</v>
      </c>
      <c r="E31" s="291">
        <v>295</v>
      </c>
      <c r="F31" s="290">
        <f t="shared" si="0"/>
        <v>102955</v>
      </c>
      <c r="G31" s="291">
        <v>10</v>
      </c>
      <c r="H31" s="413">
        <f>'enrolment vs availed_UPY'!O30</f>
        <v>99120</v>
      </c>
      <c r="I31" s="288">
        <v>295</v>
      </c>
      <c r="J31" s="288">
        <f t="shared" si="1"/>
        <v>336</v>
      </c>
    </row>
    <row r="32" spans="1:10" ht="12.75">
      <c r="A32" s="201">
        <f t="shared" si="2"/>
        <v>21</v>
      </c>
      <c r="B32" s="201" t="s">
        <v>613</v>
      </c>
      <c r="C32" s="292">
        <v>0</v>
      </c>
      <c r="D32" s="292">
        <v>0</v>
      </c>
      <c r="E32" s="291">
        <v>295</v>
      </c>
      <c r="F32" s="290">
        <f t="shared" si="0"/>
        <v>0</v>
      </c>
      <c r="G32" s="291">
        <v>0</v>
      </c>
      <c r="H32" s="413">
        <f>'enrolment vs availed_UPY'!O31</f>
        <v>0</v>
      </c>
      <c r="I32" s="288">
        <v>295</v>
      </c>
      <c r="J32" s="288">
        <f t="shared" si="1"/>
        <v>0</v>
      </c>
    </row>
    <row r="33" spans="1:10" ht="12.75">
      <c r="A33" s="201">
        <f t="shared" si="2"/>
        <v>22</v>
      </c>
      <c r="B33" s="201" t="s">
        <v>614</v>
      </c>
      <c r="C33" s="292">
        <v>0</v>
      </c>
      <c r="D33" s="292">
        <v>0</v>
      </c>
      <c r="E33" s="291">
        <v>295</v>
      </c>
      <c r="F33" s="290">
        <f t="shared" si="0"/>
        <v>0</v>
      </c>
      <c r="G33" s="291">
        <v>0</v>
      </c>
      <c r="H33" s="413">
        <f>'enrolment vs availed_UPY'!O32</f>
        <v>0</v>
      </c>
      <c r="I33" s="288">
        <v>295</v>
      </c>
      <c r="J33" s="288">
        <f t="shared" si="1"/>
        <v>0</v>
      </c>
    </row>
    <row r="34" spans="1:10" ht="12.75">
      <c r="A34" s="201">
        <f t="shared" si="2"/>
        <v>23</v>
      </c>
      <c r="B34" s="201" t="s">
        <v>615</v>
      </c>
      <c r="C34" s="292">
        <v>0</v>
      </c>
      <c r="D34" s="292">
        <v>0</v>
      </c>
      <c r="E34" s="291">
        <v>295</v>
      </c>
      <c r="F34" s="290">
        <f t="shared" si="0"/>
        <v>0</v>
      </c>
      <c r="G34" s="291">
        <v>0</v>
      </c>
      <c r="H34" s="413">
        <f>'enrolment vs availed_UPY'!O33</f>
        <v>0</v>
      </c>
      <c r="I34" s="288">
        <v>295</v>
      </c>
      <c r="J34" s="288">
        <f t="shared" si="1"/>
        <v>0</v>
      </c>
    </row>
    <row r="35" spans="1:10" ht="12.75">
      <c r="A35" s="201">
        <f t="shared" si="2"/>
        <v>24</v>
      </c>
      <c r="B35" s="201" t="s">
        <v>616</v>
      </c>
      <c r="C35" s="292">
        <v>0</v>
      </c>
      <c r="D35" s="292">
        <v>0</v>
      </c>
      <c r="E35" s="291">
        <v>295</v>
      </c>
      <c r="F35" s="290">
        <f t="shared" si="0"/>
        <v>0</v>
      </c>
      <c r="G35" s="291">
        <v>0</v>
      </c>
      <c r="H35" s="413">
        <f>'enrolment vs availed_UPY'!O34</f>
        <v>0</v>
      </c>
      <c r="I35" s="288">
        <v>295</v>
      </c>
      <c r="J35" s="288">
        <f t="shared" si="1"/>
        <v>0</v>
      </c>
    </row>
    <row r="36" spans="1:10" ht="12.75">
      <c r="A36" s="201">
        <f t="shared" si="2"/>
        <v>25</v>
      </c>
      <c r="B36" s="201" t="s">
        <v>617</v>
      </c>
      <c r="C36" s="292">
        <v>0</v>
      </c>
      <c r="D36" s="292">
        <v>0</v>
      </c>
      <c r="E36" s="291">
        <v>295</v>
      </c>
      <c r="F36" s="290">
        <f t="shared" si="0"/>
        <v>0</v>
      </c>
      <c r="G36" s="291">
        <v>0</v>
      </c>
      <c r="H36" s="413">
        <f>'enrolment vs availed_UPY'!O35</f>
        <v>0</v>
      </c>
      <c r="I36" s="288">
        <v>295</v>
      </c>
      <c r="J36" s="288">
        <f t="shared" si="1"/>
        <v>0</v>
      </c>
    </row>
    <row r="37" spans="1:10" ht="12.75">
      <c r="A37" s="201">
        <f t="shared" si="2"/>
        <v>26</v>
      </c>
      <c r="B37" s="201" t="s">
        <v>618</v>
      </c>
      <c r="C37" s="292">
        <v>0</v>
      </c>
      <c r="D37" s="292">
        <v>0</v>
      </c>
      <c r="E37" s="291">
        <v>295</v>
      </c>
      <c r="F37" s="290">
        <f t="shared" si="0"/>
        <v>0</v>
      </c>
      <c r="G37" s="291">
        <v>0</v>
      </c>
      <c r="H37" s="413">
        <f>'enrolment vs availed_UPY'!O36</f>
        <v>0</v>
      </c>
      <c r="I37" s="288">
        <v>295</v>
      </c>
      <c r="J37" s="288">
        <f t="shared" si="1"/>
        <v>0</v>
      </c>
    </row>
    <row r="38" spans="1:10" ht="12.75">
      <c r="A38" s="201">
        <f t="shared" si="2"/>
        <v>27</v>
      </c>
      <c r="B38" s="201" t="s">
        <v>619</v>
      </c>
      <c r="C38" s="292">
        <v>0</v>
      </c>
      <c r="D38" s="292">
        <v>0</v>
      </c>
      <c r="E38" s="291">
        <v>295</v>
      </c>
      <c r="F38" s="290">
        <f t="shared" si="0"/>
        <v>0</v>
      </c>
      <c r="G38" s="291">
        <v>0</v>
      </c>
      <c r="H38" s="413">
        <f>'enrolment vs availed_UPY'!O37</f>
        <v>0</v>
      </c>
      <c r="I38" s="288">
        <v>295</v>
      </c>
      <c r="J38" s="288">
        <f t="shared" si="1"/>
        <v>0</v>
      </c>
    </row>
    <row r="39" spans="1:10" ht="12.75">
      <c r="A39" s="201">
        <f t="shared" si="2"/>
        <v>28</v>
      </c>
      <c r="B39" s="143" t="s">
        <v>620</v>
      </c>
      <c r="C39" s="292">
        <v>0</v>
      </c>
      <c r="D39" s="292">
        <v>0</v>
      </c>
      <c r="E39" s="291">
        <v>295</v>
      </c>
      <c r="F39" s="290">
        <f t="shared" si="0"/>
        <v>0</v>
      </c>
      <c r="G39" s="291">
        <v>0</v>
      </c>
      <c r="H39" s="413">
        <f>'enrolment vs availed_UPY'!O38</f>
        <v>0</v>
      </c>
      <c r="I39" s="288">
        <v>295</v>
      </c>
      <c r="J39" s="288">
        <f t="shared" si="1"/>
        <v>0</v>
      </c>
    </row>
    <row r="40" spans="1:10" ht="12.75">
      <c r="A40" s="201">
        <f t="shared" si="2"/>
        <v>29</v>
      </c>
      <c r="B40" s="143" t="s">
        <v>621</v>
      </c>
      <c r="C40" s="292">
        <v>0</v>
      </c>
      <c r="D40" s="292">
        <v>0</v>
      </c>
      <c r="E40" s="291">
        <v>295</v>
      </c>
      <c r="F40" s="290">
        <f t="shared" si="0"/>
        <v>0</v>
      </c>
      <c r="G40" s="291">
        <v>0</v>
      </c>
      <c r="H40" s="413">
        <f>'enrolment vs availed_UPY'!O39</f>
        <v>0</v>
      </c>
      <c r="I40" s="288">
        <v>295</v>
      </c>
      <c r="J40" s="288">
        <f t="shared" si="1"/>
        <v>0</v>
      </c>
    </row>
    <row r="41" spans="1:10" ht="12.75">
      <c r="A41" s="201">
        <f t="shared" si="2"/>
        <v>30</v>
      </c>
      <c r="B41" s="143" t="s">
        <v>622</v>
      </c>
      <c r="C41" s="292">
        <v>0</v>
      </c>
      <c r="D41" s="292">
        <v>0</v>
      </c>
      <c r="E41" s="291">
        <v>295</v>
      </c>
      <c r="F41" s="290">
        <f t="shared" si="0"/>
        <v>0</v>
      </c>
      <c r="G41" s="291">
        <v>0</v>
      </c>
      <c r="H41" s="413">
        <f>'enrolment vs availed_UPY'!O40</f>
        <v>0</v>
      </c>
      <c r="I41" s="288">
        <v>295</v>
      </c>
      <c r="J41" s="288">
        <f t="shared" si="1"/>
        <v>0</v>
      </c>
    </row>
    <row r="42" spans="1:10" ht="12.75">
      <c r="A42" s="201">
        <f t="shared" si="2"/>
        <v>31</v>
      </c>
      <c r="B42" s="143" t="s">
        <v>623</v>
      </c>
      <c r="C42" s="292">
        <v>0</v>
      </c>
      <c r="D42" s="292">
        <v>0</v>
      </c>
      <c r="E42" s="291">
        <v>295</v>
      </c>
      <c r="F42" s="290">
        <f t="shared" si="0"/>
        <v>0</v>
      </c>
      <c r="G42" s="291">
        <v>0</v>
      </c>
      <c r="H42" s="413">
        <f>'enrolment vs availed_UPY'!O41</f>
        <v>0</v>
      </c>
      <c r="I42" s="288">
        <v>295</v>
      </c>
      <c r="J42" s="288">
        <f t="shared" si="1"/>
        <v>0</v>
      </c>
    </row>
    <row r="43" spans="1:10" s="5" customFormat="1" ht="12.75">
      <c r="A43" s="150"/>
      <c r="B43" s="150" t="s">
        <v>624</v>
      </c>
      <c r="C43" s="17">
        <f>SUM(C12:C42)</f>
        <v>75</v>
      </c>
      <c r="D43" s="17">
        <f aca="true" t="shared" si="3" ref="D43:J43">SUM(D12:D42)</f>
        <v>2235</v>
      </c>
      <c r="E43" s="293">
        <v>295</v>
      </c>
      <c r="F43" s="17">
        <f t="shared" si="3"/>
        <v>659325</v>
      </c>
      <c r="G43" s="17">
        <f t="shared" si="3"/>
        <v>46</v>
      </c>
      <c r="H43" s="17">
        <f t="shared" si="3"/>
        <v>653130</v>
      </c>
      <c r="I43" s="17">
        <v>295</v>
      </c>
      <c r="J43" s="346">
        <f t="shared" si="3"/>
        <v>2214</v>
      </c>
    </row>
    <row r="44" spans="1:10" ht="12.75">
      <c r="A44" s="3"/>
      <c r="B44" s="18"/>
      <c r="C44" s="18"/>
      <c r="D44" s="10"/>
      <c r="E44" s="10"/>
      <c r="F44" s="10"/>
      <c r="G44" s="10"/>
      <c r="H44" s="359"/>
      <c r="I44" s="359"/>
      <c r="J44" s="411"/>
    </row>
    <row r="45" spans="1:10" ht="12.75">
      <c r="A45" s="160" t="s">
        <v>755</v>
      </c>
      <c r="B45" s="18"/>
      <c r="C45" s="18"/>
      <c r="D45" s="10"/>
      <c r="E45" s="10"/>
      <c r="F45" s="10"/>
      <c r="G45" s="10"/>
      <c r="H45" s="10"/>
      <c r="I45" s="10"/>
      <c r="J45" s="10"/>
    </row>
    <row r="47" spans="1:10" ht="12.75">
      <c r="A47" s="657"/>
      <c r="B47" s="657"/>
      <c r="C47" s="657"/>
      <c r="D47" s="657"/>
      <c r="E47" s="657"/>
      <c r="F47" s="657"/>
      <c r="G47" s="657"/>
      <c r="H47" s="657"/>
      <c r="I47" s="657"/>
      <c r="J47" s="657"/>
    </row>
    <row r="48" spans="7:10" ht="15.75">
      <c r="G48" s="621" t="s">
        <v>860</v>
      </c>
      <c r="H48" s="621"/>
      <c r="I48" s="621"/>
      <c r="J48" s="621"/>
    </row>
    <row r="49" spans="7:10" ht="15.75">
      <c r="G49" s="621" t="s">
        <v>653</v>
      </c>
      <c r="H49" s="621"/>
      <c r="I49" s="621"/>
      <c r="J49" s="621"/>
    </row>
  </sheetData>
  <sheetProtection/>
  <mergeCells count="13">
    <mergeCell ref="G48:J48"/>
    <mergeCell ref="G49:J49"/>
    <mergeCell ref="A47:J47"/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</mergeCells>
  <printOptions horizontalCentered="1"/>
  <pageMargins left="0.41" right="0.46" top="0.45" bottom="0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8"/>
  <sheetViews>
    <sheetView view="pageBreakPreview" zoomScale="55" zoomScaleNormal="70" zoomScaleSheetLayoutView="55" zoomScalePageLayoutView="0" workbookViewId="0" topLeftCell="A4">
      <selection activeCell="P23" sqref="P23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11.00390625" style="6" customWidth="1"/>
    <col min="4" max="4" width="10.00390625" style="6" customWidth="1"/>
    <col min="5" max="5" width="13.140625" style="6" customWidth="1"/>
    <col min="6" max="6" width="14.28125" style="6" customWidth="1"/>
    <col min="7" max="7" width="13.28125" style="6" customWidth="1"/>
    <col min="8" max="8" width="14.7109375" style="6" customWidth="1"/>
    <col min="9" max="9" width="16.7109375" style="6" customWidth="1"/>
    <col min="10" max="10" width="19.28125" style="6" customWidth="1"/>
    <col min="11" max="16384" width="9.140625" style="6" customWidth="1"/>
  </cols>
  <sheetData>
    <row r="1" spans="5:10" ht="12.75">
      <c r="E1" s="560"/>
      <c r="F1" s="560"/>
      <c r="G1" s="560"/>
      <c r="H1" s="560"/>
      <c r="I1" s="560"/>
      <c r="J1" s="433" t="s">
        <v>353</v>
      </c>
    </row>
    <row r="2" spans="1:10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4.25" customHeight="1"/>
    <row r="5" spans="1:10" ht="31.5" customHeight="1">
      <c r="A5" s="655" t="s">
        <v>712</v>
      </c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ht="0.75" customHeight="1"/>
    <row r="8" spans="1:10" ht="12.75">
      <c r="A8" s="559" t="s">
        <v>665</v>
      </c>
      <c r="B8" s="559"/>
      <c r="C8" s="141"/>
      <c r="H8" s="640" t="s">
        <v>750</v>
      </c>
      <c r="I8" s="640"/>
      <c r="J8" s="640"/>
    </row>
    <row r="9" spans="1:16" ht="12.75">
      <c r="A9" s="530" t="s">
        <v>2</v>
      </c>
      <c r="B9" s="530" t="s">
        <v>3</v>
      </c>
      <c r="C9" s="541" t="s">
        <v>708</v>
      </c>
      <c r="D9" s="603"/>
      <c r="E9" s="603"/>
      <c r="F9" s="542"/>
      <c r="G9" s="541" t="s">
        <v>98</v>
      </c>
      <c r="H9" s="603"/>
      <c r="I9" s="603"/>
      <c r="J9" s="542"/>
      <c r="O9" s="8"/>
      <c r="P9" s="10"/>
    </row>
    <row r="10" spans="1:10" ht="53.25" customHeight="1">
      <c r="A10" s="530"/>
      <c r="B10" s="530"/>
      <c r="C10" s="1" t="s">
        <v>181</v>
      </c>
      <c r="D10" s="1" t="s">
        <v>14</v>
      </c>
      <c r="E10" s="121" t="s">
        <v>784</v>
      </c>
      <c r="F10" s="151" t="s">
        <v>198</v>
      </c>
      <c r="G10" s="1" t="s">
        <v>181</v>
      </c>
      <c r="H10" s="175" t="s">
        <v>15</v>
      </c>
      <c r="I10" s="174" t="s">
        <v>106</v>
      </c>
      <c r="J10" s="1" t="s">
        <v>199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51">
        <v>6</v>
      </c>
      <c r="G11" s="1">
        <v>7</v>
      </c>
      <c r="H11" s="152">
        <v>8</v>
      </c>
      <c r="I11" s="1">
        <v>9</v>
      </c>
      <c r="J11" s="1">
        <v>10</v>
      </c>
    </row>
    <row r="12" spans="1:10" ht="12.75">
      <c r="A12" s="201">
        <v>1</v>
      </c>
      <c r="B12" s="201" t="s">
        <v>633</v>
      </c>
      <c r="C12" s="658" t="s">
        <v>638</v>
      </c>
      <c r="D12" s="659"/>
      <c r="E12" s="659"/>
      <c r="F12" s="659"/>
      <c r="G12" s="659"/>
      <c r="H12" s="659"/>
      <c r="I12" s="659"/>
      <c r="J12" s="660"/>
    </row>
    <row r="13" spans="1:10" ht="12.75">
      <c r="A13" s="201">
        <f>A12+1</f>
        <v>2</v>
      </c>
      <c r="B13" s="201" t="s">
        <v>598</v>
      </c>
      <c r="C13" s="661"/>
      <c r="D13" s="662"/>
      <c r="E13" s="662"/>
      <c r="F13" s="662"/>
      <c r="G13" s="662"/>
      <c r="H13" s="662"/>
      <c r="I13" s="662"/>
      <c r="J13" s="663"/>
    </row>
    <row r="14" spans="1:10" ht="12.75">
      <c r="A14" s="201">
        <f aca="true" t="shared" si="0" ref="A14:A42">A13+1</f>
        <v>3</v>
      </c>
      <c r="B14" s="201" t="s">
        <v>634</v>
      </c>
      <c r="C14" s="661"/>
      <c r="D14" s="662"/>
      <c r="E14" s="662"/>
      <c r="F14" s="662"/>
      <c r="G14" s="662"/>
      <c r="H14" s="662"/>
      <c r="I14" s="662"/>
      <c r="J14" s="663"/>
    </row>
    <row r="15" spans="1:10" ht="12.75">
      <c r="A15" s="201">
        <f t="shared" si="0"/>
        <v>4</v>
      </c>
      <c r="B15" s="201" t="s">
        <v>599</v>
      </c>
      <c r="C15" s="661"/>
      <c r="D15" s="662"/>
      <c r="E15" s="662"/>
      <c r="F15" s="662"/>
      <c r="G15" s="662"/>
      <c r="H15" s="662"/>
      <c r="I15" s="662"/>
      <c r="J15" s="663"/>
    </row>
    <row r="16" spans="1:10" ht="12.75">
      <c r="A16" s="201">
        <f t="shared" si="0"/>
        <v>5</v>
      </c>
      <c r="B16" s="201" t="s">
        <v>600</v>
      </c>
      <c r="C16" s="661"/>
      <c r="D16" s="662"/>
      <c r="E16" s="662"/>
      <c r="F16" s="662"/>
      <c r="G16" s="662"/>
      <c r="H16" s="662"/>
      <c r="I16" s="662"/>
      <c r="J16" s="663"/>
    </row>
    <row r="17" spans="1:10" ht="12.75">
      <c r="A17" s="201">
        <f t="shared" si="0"/>
        <v>6</v>
      </c>
      <c r="B17" s="201" t="s">
        <v>601</v>
      </c>
      <c r="C17" s="661"/>
      <c r="D17" s="662"/>
      <c r="E17" s="662"/>
      <c r="F17" s="662"/>
      <c r="G17" s="662"/>
      <c r="H17" s="662"/>
      <c r="I17" s="662"/>
      <c r="J17" s="663"/>
    </row>
    <row r="18" spans="1:10" ht="12.75">
      <c r="A18" s="201">
        <f t="shared" si="0"/>
        <v>7</v>
      </c>
      <c r="B18" s="201" t="s">
        <v>602</v>
      </c>
      <c r="C18" s="661"/>
      <c r="D18" s="662"/>
      <c r="E18" s="662"/>
      <c r="F18" s="662"/>
      <c r="G18" s="662"/>
      <c r="H18" s="662"/>
      <c r="I18" s="662"/>
      <c r="J18" s="663"/>
    </row>
    <row r="19" spans="1:10" ht="12.75">
      <c r="A19" s="201">
        <f t="shared" si="0"/>
        <v>8</v>
      </c>
      <c r="B19" s="201" t="s">
        <v>603</v>
      </c>
      <c r="C19" s="661"/>
      <c r="D19" s="662"/>
      <c r="E19" s="662"/>
      <c r="F19" s="662"/>
      <c r="G19" s="662"/>
      <c r="H19" s="662"/>
      <c r="I19" s="662"/>
      <c r="J19" s="663"/>
    </row>
    <row r="20" spans="1:10" ht="12.75">
      <c r="A20" s="201">
        <f t="shared" si="0"/>
        <v>9</v>
      </c>
      <c r="B20" s="201" t="s">
        <v>604</v>
      </c>
      <c r="C20" s="661"/>
      <c r="D20" s="662"/>
      <c r="E20" s="662"/>
      <c r="F20" s="662"/>
      <c r="G20" s="662"/>
      <c r="H20" s="662"/>
      <c r="I20" s="662"/>
      <c r="J20" s="663"/>
    </row>
    <row r="21" spans="1:10" ht="12.75">
      <c r="A21" s="201">
        <f t="shared" si="0"/>
        <v>10</v>
      </c>
      <c r="B21" s="201" t="s">
        <v>605</v>
      </c>
      <c r="C21" s="661"/>
      <c r="D21" s="662"/>
      <c r="E21" s="662"/>
      <c r="F21" s="662"/>
      <c r="G21" s="662"/>
      <c r="H21" s="662"/>
      <c r="I21" s="662"/>
      <c r="J21" s="663"/>
    </row>
    <row r="22" spans="1:10" ht="12.75">
      <c r="A22" s="201">
        <f t="shared" si="0"/>
        <v>11</v>
      </c>
      <c r="B22" s="201" t="s">
        <v>635</v>
      </c>
      <c r="C22" s="661"/>
      <c r="D22" s="662"/>
      <c r="E22" s="662"/>
      <c r="F22" s="662"/>
      <c r="G22" s="662"/>
      <c r="H22" s="662"/>
      <c r="I22" s="662"/>
      <c r="J22" s="663"/>
    </row>
    <row r="23" spans="1:10" ht="12.75">
      <c r="A23" s="201">
        <f t="shared" si="0"/>
        <v>12</v>
      </c>
      <c r="B23" s="201" t="s">
        <v>606</v>
      </c>
      <c r="C23" s="661"/>
      <c r="D23" s="662"/>
      <c r="E23" s="662"/>
      <c r="F23" s="662"/>
      <c r="G23" s="662"/>
      <c r="H23" s="662"/>
      <c r="I23" s="662"/>
      <c r="J23" s="663"/>
    </row>
    <row r="24" spans="1:10" ht="12.75">
      <c r="A24" s="201">
        <f t="shared" si="0"/>
        <v>13</v>
      </c>
      <c r="B24" s="201" t="s">
        <v>607</v>
      </c>
      <c r="C24" s="661"/>
      <c r="D24" s="662"/>
      <c r="E24" s="662"/>
      <c r="F24" s="662"/>
      <c r="G24" s="662"/>
      <c r="H24" s="662"/>
      <c r="I24" s="662"/>
      <c r="J24" s="663"/>
    </row>
    <row r="25" spans="1:10" ht="12.75">
      <c r="A25" s="201">
        <f t="shared" si="0"/>
        <v>14</v>
      </c>
      <c r="B25" s="201" t="s">
        <v>636</v>
      </c>
      <c r="C25" s="661"/>
      <c r="D25" s="662"/>
      <c r="E25" s="662"/>
      <c r="F25" s="662"/>
      <c r="G25" s="662"/>
      <c r="H25" s="662"/>
      <c r="I25" s="662"/>
      <c r="J25" s="663"/>
    </row>
    <row r="26" spans="1:10" ht="12.75">
      <c r="A26" s="201">
        <f t="shared" si="0"/>
        <v>15</v>
      </c>
      <c r="B26" s="201" t="s">
        <v>608</v>
      </c>
      <c r="C26" s="661"/>
      <c r="D26" s="662"/>
      <c r="E26" s="662"/>
      <c r="F26" s="662"/>
      <c r="G26" s="662"/>
      <c r="H26" s="662"/>
      <c r="I26" s="662"/>
      <c r="J26" s="663"/>
    </row>
    <row r="27" spans="1:10" ht="12.75">
      <c r="A27" s="201">
        <f t="shared" si="0"/>
        <v>16</v>
      </c>
      <c r="B27" s="201" t="s">
        <v>609</v>
      </c>
      <c r="C27" s="661"/>
      <c r="D27" s="662"/>
      <c r="E27" s="662"/>
      <c r="F27" s="662"/>
      <c r="G27" s="662"/>
      <c r="H27" s="662"/>
      <c r="I27" s="662"/>
      <c r="J27" s="663"/>
    </row>
    <row r="28" spans="1:10" ht="12.75">
      <c r="A28" s="201">
        <f t="shared" si="0"/>
        <v>17</v>
      </c>
      <c r="B28" s="201" t="s">
        <v>610</v>
      </c>
      <c r="C28" s="661"/>
      <c r="D28" s="662"/>
      <c r="E28" s="662"/>
      <c r="F28" s="662"/>
      <c r="G28" s="662"/>
      <c r="H28" s="662"/>
      <c r="I28" s="662"/>
      <c r="J28" s="663"/>
    </row>
    <row r="29" spans="1:10" ht="12.75">
      <c r="A29" s="201">
        <f t="shared" si="0"/>
        <v>18</v>
      </c>
      <c r="B29" s="201" t="s">
        <v>611</v>
      </c>
      <c r="C29" s="661"/>
      <c r="D29" s="662"/>
      <c r="E29" s="662"/>
      <c r="F29" s="662"/>
      <c r="G29" s="662"/>
      <c r="H29" s="662"/>
      <c r="I29" s="662"/>
      <c r="J29" s="663"/>
    </row>
    <row r="30" spans="1:10" ht="12.75">
      <c r="A30" s="201">
        <f t="shared" si="0"/>
        <v>19</v>
      </c>
      <c r="B30" s="201" t="s">
        <v>637</v>
      </c>
      <c r="C30" s="661"/>
      <c r="D30" s="662"/>
      <c r="E30" s="662"/>
      <c r="F30" s="662"/>
      <c r="G30" s="662"/>
      <c r="H30" s="662"/>
      <c r="I30" s="662"/>
      <c r="J30" s="663"/>
    </row>
    <row r="31" spans="1:10" ht="12.75">
      <c r="A31" s="201">
        <f t="shared" si="0"/>
        <v>20</v>
      </c>
      <c r="B31" s="201" t="s">
        <v>612</v>
      </c>
      <c r="C31" s="661"/>
      <c r="D31" s="662"/>
      <c r="E31" s="662"/>
      <c r="F31" s="662"/>
      <c r="G31" s="662"/>
      <c r="H31" s="662"/>
      <c r="I31" s="662"/>
      <c r="J31" s="663"/>
    </row>
    <row r="32" spans="1:10" ht="12.75">
      <c r="A32" s="201">
        <f t="shared" si="0"/>
        <v>21</v>
      </c>
      <c r="B32" s="201" t="s">
        <v>613</v>
      </c>
      <c r="C32" s="661"/>
      <c r="D32" s="662"/>
      <c r="E32" s="662"/>
      <c r="F32" s="662"/>
      <c r="G32" s="662"/>
      <c r="H32" s="662"/>
      <c r="I32" s="662"/>
      <c r="J32" s="663"/>
    </row>
    <row r="33" spans="1:10" ht="12.75">
      <c r="A33" s="201">
        <f t="shared" si="0"/>
        <v>22</v>
      </c>
      <c r="B33" s="201" t="s">
        <v>614</v>
      </c>
      <c r="C33" s="661"/>
      <c r="D33" s="662"/>
      <c r="E33" s="662"/>
      <c r="F33" s="662"/>
      <c r="G33" s="662"/>
      <c r="H33" s="662"/>
      <c r="I33" s="662"/>
      <c r="J33" s="663"/>
    </row>
    <row r="34" spans="1:10" ht="12.75">
      <c r="A34" s="201">
        <f t="shared" si="0"/>
        <v>23</v>
      </c>
      <c r="B34" s="201" t="s">
        <v>615</v>
      </c>
      <c r="C34" s="661"/>
      <c r="D34" s="662"/>
      <c r="E34" s="662"/>
      <c r="F34" s="662"/>
      <c r="G34" s="662"/>
      <c r="H34" s="662"/>
      <c r="I34" s="662"/>
      <c r="J34" s="663"/>
    </row>
    <row r="35" spans="1:10" ht="12.75">
      <c r="A35" s="201">
        <f t="shared" si="0"/>
        <v>24</v>
      </c>
      <c r="B35" s="201" t="s">
        <v>616</v>
      </c>
      <c r="C35" s="661"/>
      <c r="D35" s="662"/>
      <c r="E35" s="662"/>
      <c r="F35" s="662"/>
      <c r="G35" s="662"/>
      <c r="H35" s="662"/>
      <c r="I35" s="662"/>
      <c r="J35" s="663"/>
    </row>
    <row r="36" spans="1:10" ht="12.75">
      <c r="A36" s="201">
        <f t="shared" si="0"/>
        <v>25</v>
      </c>
      <c r="B36" s="201" t="s">
        <v>617</v>
      </c>
      <c r="C36" s="661"/>
      <c r="D36" s="662"/>
      <c r="E36" s="662"/>
      <c r="F36" s="662"/>
      <c r="G36" s="662"/>
      <c r="H36" s="662"/>
      <c r="I36" s="662"/>
      <c r="J36" s="663"/>
    </row>
    <row r="37" spans="1:10" ht="12.75">
      <c r="A37" s="201">
        <f t="shared" si="0"/>
        <v>26</v>
      </c>
      <c r="B37" s="201" t="s">
        <v>618</v>
      </c>
      <c r="C37" s="661"/>
      <c r="D37" s="662"/>
      <c r="E37" s="662"/>
      <c r="F37" s="662"/>
      <c r="G37" s="662"/>
      <c r="H37" s="662"/>
      <c r="I37" s="662"/>
      <c r="J37" s="663"/>
    </row>
    <row r="38" spans="1:10" ht="12.75">
      <c r="A38" s="201">
        <f t="shared" si="0"/>
        <v>27</v>
      </c>
      <c r="B38" s="201" t="s">
        <v>619</v>
      </c>
      <c r="C38" s="661"/>
      <c r="D38" s="662"/>
      <c r="E38" s="662"/>
      <c r="F38" s="662"/>
      <c r="G38" s="662"/>
      <c r="H38" s="662"/>
      <c r="I38" s="662"/>
      <c r="J38" s="663"/>
    </row>
    <row r="39" spans="1:10" ht="12.75">
      <c r="A39" s="201">
        <f t="shared" si="0"/>
        <v>28</v>
      </c>
      <c r="B39" s="143" t="s">
        <v>620</v>
      </c>
      <c r="C39" s="661"/>
      <c r="D39" s="662"/>
      <c r="E39" s="662"/>
      <c r="F39" s="662"/>
      <c r="G39" s="662"/>
      <c r="H39" s="662"/>
      <c r="I39" s="662"/>
      <c r="J39" s="663"/>
    </row>
    <row r="40" spans="1:10" ht="12.75">
      <c r="A40" s="201">
        <f t="shared" si="0"/>
        <v>29</v>
      </c>
      <c r="B40" s="143" t="s">
        <v>621</v>
      </c>
      <c r="C40" s="661"/>
      <c r="D40" s="662"/>
      <c r="E40" s="662"/>
      <c r="F40" s="662"/>
      <c r="G40" s="662"/>
      <c r="H40" s="662"/>
      <c r="I40" s="662"/>
      <c r="J40" s="663"/>
    </row>
    <row r="41" spans="1:10" ht="12.75">
      <c r="A41" s="201">
        <f t="shared" si="0"/>
        <v>30</v>
      </c>
      <c r="B41" s="143" t="s">
        <v>622</v>
      </c>
      <c r="C41" s="661"/>
      <c r="D41" s="662"/>
      <c r="E41" s="662"/>
      <c r="F41" s="662"/>
      <c r="G41" s="662"/>
      <c r="H41" s="662"/>
      <c r="I41" s="662"/>
      <c r="J41" s="663"/>
    </row>
    <row r="42" spans="1:10" ht="12.75">
      <c r="A42" s="201">
        <f t="shared" si="0"/>
        <v>31</v>
      </c>
      <c r="B42" s="143" t="s">
        <v>623</v>
      </c>
      <c r="C42" s="661"/>
      <c r="D42" s="662"/>
      <c r="E42" s="662"/>
      <c r="F42" s="662"/>
      <c r="G42" s="662"/>
      <c r="H42" s="662"/>
      <c r="I42" s="662"/>
      <c r="J42" s="663"/>
    </row>
    <row r="43" spans="1:10" ht="12.75">
      <c r="A43" s="150"/>
      <c r="B43" s="150" t="s">
        <v>624</v>
      </c>
      <c r="C43" s="664"/>
      <c r="D43" s="665"/>
      <c r="E43" s="665"/>
      <c r="F43" s="665"/>
      <c r="G43" s="665"/>
      <c r="H43" s="665"/>
      <c r="I43" s="665"/>
      <c r="J43" s="666"/>
    </row>
    <row r="44" spans="1:10" ht="12.75">
      <c r="A44" s="3"/>
      <c r="B44" s="18"/>
      <c r="C44" s="18"/>
      <c r="D44" s="10"/>
      <c r="E44" s="10"/>
      <c r="F44" s="10"/>
      <c r="G44" s="10"/>
      <c r="H44" s="10"/>
      <c r="I44" s="10"/>
      <c r="J44" s="10"/>
    </row>
    <row r="45" spans="1:10" ht="12.75">
      <c r="A45" s="160" t="s">
        <v>755</v>
      </c>
      <c r="B45" s="18"/>
      <c r="C45" s="18"/>
      <c r="D45" s="10"/>
      <c r="E45" s="10"/>
      <c r="F45" s="10"/>
      <c r="G45" s="10"/>
      <c r="H45" s="10"/>
      <c r="I45" s="10"/>
      <c r="J45" s="10"/>
    </row>
    <row r="46" spans="1:10" ht="12.75">
      <c r="A46" s="3"/>
      <c r="B46" s="18"/>
      <c r="C46" s="18"/>
      <c r="D46" s="10"/>
      <c r="E46" s="10"/>
      <c r="F46" s="10"/>
      <c r="G46" s="10"/>
      <c r="H46" s="10"/>
      <c r="I46" s="10"/>
      <c r="J46" s="10"/>
    </row>
    <row r="47" spans="7:10" ht="15.75">
      <c r="G47" s="621" t="s">
        <v>860</v>
      </c>
      <c r="H47" s="621"/>
      <c r="I47" s="621"/>
      <c r="J47" s="621"/>
    </row>
    <row r="48" spans="7:10" ht="15.75">
      <c r="G48" s="621" t="s">
        <v>653</v>
      </c>
      <c r="H48" s="621"/>
      <c r="I48" s="621"/>
      <c r="J48" s="621"/>
    </row>
  </sheetData>
  <sheetProtection/>
  <mergeCells count="13">
    <mergeCell ref="C9:F9"/>
    <mergeCell ref="G9:J9"/>
    <mergeCell ref="C12:J43"/>
    <mergeCell ref="G47:J47"/>
    <mergeCell ref="G48:J48"/>
    <mergeCell ref="E1:I1"/>
    <mergeCell ref="A2:J2"/>
    <mergeCell ref="A3:J3"/>
    <mergeCell ref="A5:J5"/>
    <mergeCell ref="A8:B8"/>
    <mergeCell ref="H8:J8"/>
    <mergeCell ref="A9:A10"/>
    <mergeCell ref="B9:B10"/>
  </mergeCells>
  <printOptions horizontalCentered="1"/>
  <pageMargins left="0.4" right="0.44" top="0.53" bottom="0" header="0.31496062992125984" footer="0.31496062992125984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8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11.00390625" style="6" customWidth="1"/>
    <col min="4" max="4" width="10.00390625" style="6" customWidth="1"/>
    <col min="5" max="5" width="13.140625" style="6" customWidth="1"/>
    <col min="6" max="6" width="14.28125" style="6" customWidth="1"/>
    <col min="7" max="7" width="13.28125" style="6" customWidth="1"/>
    <col min="8" max="8" width="14.7109375" style="6" customWidth="1"/>
    <col min="9" max="9" width="16.7109375" style="6" customWidth="1"/>
    <col min="10" max="10" width="19.28125" style="6" customWidth="1"/>
    <col min="11" max="16384" width="9.140625" style="6" customWidth="1"/>
  </cols>
  <sheetData>
    <row r="1" spans="5:10" ht="12.75">
      <c r="E1" s="560"/>
      <c r="F1" s="560"/>
      <c r="G1" s="560"/>
      <c r="H1" s="560"/>
      <c r="I1" s="560"/>
      <c r="J1" s="172" t="s">
        <v>424</v>
      </c>
    </row>
    <row r="2" spans="1:10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4.25" customHeight="1"/>
    <row r="5" spans="1:10" ht="31.5" customHeight="1">
      <c r="A5" s="655" t="s">
        <v>713</v>
      </c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ht="0.75" customHeight="1"/>
    <row r="8" spans="1:10" ht="12.75">
      <c r="A8" s="559" t="s">
        <v>665</v>
      </c>
      <c r="B8" s="559"/>
      <c r="C8" s="141"/>
      <c r="H8" s="640" t="s">
        <v>750</v>
      </c>
      <c r="I8" s="640"/>
      <c r="J8" s="640"/>
    </row>
    <row r="9" spans="1:16" ht="12.75">
      <c r="A9" s="530" t="s">
        <v>2</v>
      </c>
      <c r="B9" s="530" t="s">
        <v>3</v>
      </c>
      <c r="C9" s="541" t="s">
        <v>708</v>
      </c>
      <c r="D9" s="603"/>
      <c r="E9" s="603"/>
      <c r="F9" s="542"/>
      <c r="G9" s="541" t="s">
        <v>98</v>
      </c>
      <c r="H9" s="603"/>
      <c r="I9" s="603"/>
      <c r="J9" s="542"/>
      <c r="O9" s="8"/>
      <c r="P9" s="10"/>
    </row>
    <row r="10" spans="1:10" ht="53.25" customHeight="1">
      <c r="A10" s="530"/>
      <c r="B10" s="530"/>
      <c r="C10" s="1" t="s">
        <v>181</v>
      </c>
      <c r="D10" s="1" t="s">
        <v>14</v>
      </c>
      <c r="E10" s="121" t="s">
        <v>355</v>
      </c>
      <c r="F10" s="151" t="s">
        <v>198</v>
      </c>
      <c r="G10" s="1" t="s">
        <v>181</v>
      </c>
      <c r="H10" s="175" t="s">
        <v>15</v>
      </c>
      <c r="I10" s="174" t="s">
        <v>106</v>
      </c>
      <c r="J10" s="1" t="s">
        <v>199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51">
        <v>6</v>
      </c>
      <c r="G11" s="1">
        <v>7</v>
      </c>
      <c r="H11" s="152">
        <v>8</v>
      </c>
      <c r="I11" s="1">
        <v>9</v>
      </c>
      <c r="J11" s="1">
        <v>10</v>
      </c>
    </row>
    <row r="12" spans="1:10" ht="12.75">
      <c r="A12" s="201">
        <v>1</v>
      </c>
      <c r="B12" s="201" t="s">
        <v>633</v>
      </c>
      <c r="C12" s="658" t="s">
        <v>638</v>
      </c>
      <c r="D12" s="659"/>
      <c r="E12" s="659"/>
      <c r="F12" s="659"/>
      <c r="G12" s="659"/>
      <c r="H12" s="659"/>
      <c r="I12" s="659"/>
      <c r="J12" s="660"/>
    </row>
    <row r="13" spans="1:10" ht="12.75">
      <c r="A13" s="201">
        <f>A12+1</f>
        <v>2</v>
      </c>
      <c r="B13" s="201" t="s">
        <v>598</v>
      </c>
      <c r="C13" s="661"/>
      <c r="D13" s="662"/>
      <c r="E13" s="662"/>
      <c r="F13" s="662"/>
      <c r="G13" s="662"/>
      <c r="H13" s="662"/>
      <c r="I13" s="662"/>
      <c r="J13" s="663"/>
    </row>
    <row r="14" spans="1:10" ht="12.75">
      <c r="A14" s="201">
        <f aca="true" t="shared" si="0" ref="A14:A42">A13+1</f>
        <v>3</v>
      </c>
      <c r="B14" s="201" t="s">
        <v>634</v>
      </c>
      <c r="C14" s="661"/>
      <c r="D14" s="662"/>
      <c r="E14" s="662"/>
      <c r="F14" s="662"/>
      <c r="G14" s="662"/>
      <c r="H14" s="662"/>
      <c r="I14" s="662"/>
      <c r="J14" s="663"/>
    </row>
    <row r="15" spans="1:10" ht="12.75">
      <c r="A15" s="201">
        <f t="shared" si="0"/>
        <v>4</v>
      </c>
      <c r="B15" s="201" t="s">
        <v>599</v>
      </c>
      <c r="C15" s="661"/>
      <c r="D15" s="662"/>
      <c r="E15" s="662"/>
      <c r="F15" s="662"/>
      <c r="G15" s="662"/>
      <c r="H15" s="662"/>
      <c r="I15" s="662"/>
      <c r="J15" s="663"/>
    </row>
    <row r="16" spans="1:10" ht="12.75">
      <c r="A16" s="201">
        <f t="shared" si="0"/>
        <v>5</v>
      </c>
      <c r="B16" s="201" t="s">
        <v>600</v>
      </c>
      <c r="C16" s="661"/>
      <c r="D16" s="662"/>
      <c r="E16" s="662"/>
      <c r="F16" s="662"/>
      <c r="G16" s="662"/>
      <c r="H16" s="662"/>
      <c r="I16" s="662"/>
      <c r="J16" s="663"/>
    </row>
    <row r="17" spans="1:10" ht="12.75">
      <c r="A17" s="201">
        <f t="shared" si="0"/>
        <v>6</v>
      </c>
      <c r="B17" s="201" t="s">
        <v>601</v>
      </c>
      <c r="C17" s="661"/>
      <c r="D17" s="662"/>
      <c r="E17" s="662"/>
      <c r="F17" s="662"/>
      <c r="G17" s="662"/>
      <c r="H17" s="662"/>
      <c r="I17" s="662"/>
      <c r="J17" s="663"/>
    </row>
    <row r="18" spans="1:10" ht="12.75">
      <c r="A18" s="201">
        <f t="shared" si="0"/>
        <v>7</v>
      </c>
      <c r="B18" s="201" t="s">
        <v>602</v>
      </c>
      <c r="C18" s="661"/>
      <c r="D18" s="662"/>
      <c r="E18" s="662"/>
      <c r="F18" s="662"/>
      <c r="G18" s="662"/>
      <c r="H18" s="662"/>
      <c r="I18" s="662"/>
      <c r="J18" s="663"/>
    </row>
    <row r="19" spans="1:10" ht="12.75">
      <c r="A19" s="201">
        <f t="shared" si="0"/>
        <v>8</v>
      </c>
      <c r="B19" s="201" t="s">
        <v>603</v>
      </c>
      <c r="C19" s="661"/>
      <c r="D19" s="662"/>
      <c r="E19" s="662"/>
      <c r="F19" s="662"/>
      <c r="G19" s="662"/>
      <c r="H19" s="662"/>
      <c r="I19" s="662"/>
      <c r="J19" s="663"/>
    </row>
    <row r="20" spans="1:10" ht="12.75">
      <c r="A20" s="201">
        <f t="shared" si="0"/>
        <v>9</v>
      </c>
      <c r="B20" s="201" t="s">
        <v>604</v>
      </c>
      <c r="C20" s="661"/>
      <c r="D20" s="662"/>
      <c r="E20" s="662"/>
      <c r="F20" s="662"/>
      <c r="G20" s="662"/>
      <c r="H20" s="662"/>
      <c r="I20" s="662"/>
      <c r="J20" s="663"/>
    </row>
    <row r="21" spans="1:10" ht="12.75">
      <c r="A21" s="201">
        <f t="shared" si="0"/>
        <v>10</v>
      </c>
      <c r="B21" s="201" t="s">
        <v>605</v>
      </c>
      <c r="C21" s="661"/>
      <c r="D21" s="662"/>
      <c r="E21" s="662"/>
      <c r="F21" s="662"/>
      <c r="G21" s="662"/>
      <c r="H21" s="662"/>
      <c r="I21" s="662"/>
      <c r="J21" s="663"/>
    </row>
    <row r="22" spans="1:10" ht="12.75">
      <c r="A22" s="201">
        <f t="shared" si="0"/>
        <v>11</v>
      </c>
      <c r="B22" s="201" t="s">
        <v>635</v>
      </c>
      <c r="C22" s="661"/>
      <c r="D22" s="662"/>
      <c r="E22" s="662"/>
      <c r="F22" s="662"/>
      <c r="G22" s="662"/>
      <c r="H22" s="662"/>
      <c r="I22" s="662"/>
      <c r="J22" s="663"/>
    </row>
    <row r="23" spans="1:10" ht="12.75">
      <c r="A23" s="201">
        <f t="shared" si="0"/>
        <v>12</v>
      </c>
      <c r="B23" s="201" t="s">
        <v>606</v>
      </c>
      <c r="C23" s="661"/>
      <c r="D23" s="662"/>
      <c r="E23" s="662"/>
      <c r="F23" s="662"/>
      <c r="G23" s="662"/>
      <c r="H23" s="662"/>
      <c r="I23" s="662"/>
      <c r="J23" s="663"/>
    </row>
    <row r="24" spans="1:10" ht="12.75">
      <c r="A24" s="201">
        <f t="shared" si="0"/>
        <v>13</v>
      </c>
      <c r="B24" s="201" t="s">
        <v>607</v>
      </c>
      <c r="C24" s="661"/>
      <c r="D24" s="662"/>
      <c r="E24" s="662"/>
      <c r="F24" s="662"/>
      <c r="G24" s="662"/>
      <c r="H24" s="662"/>
      <c r="I24" s="662"/>
      <c r="J24" s="663"/>
    </row>
    <row r="25" spans="1:10" ht="12.75">
      <c r="A25" s="201">
        <f t="shared" si="0"/>
        <v>14</v>
      </c>
      <c r="B25" s="201" t="s">
        <v>636</v>
      </c>
      <c r="C25" s="661"/>
      <c r="D25" s="662"/>
      <c r="E25" s="662"/>
      <c r="F25" s="662"/>
      <c r="G25" s="662"/>
      <c r="H25" s="662"/>
      <c r="I25" s="662"/>
      <c r="J25" s="663"/>
    </row>
    <row r="26" spans="1:10" ht="12.75">
      <c r="A26" s="201">
        <f t="shared" si="0"/>
        <v>15</v>
      </c>
      <c r="B26" s="201" t="s">
        <v>608</v>
      </c>
      <c r="C26" s="661"/>
      <c r="D26" s="662"/>
      <c r="E26" s="662"/>
      <c r="F26" s="662"/>
      <c r="G26" s="662"/>
      <c r="H26" s="662"/>
      <c r="I26" s="662"/>
      <c r="J26" s="663"/>
    </row>
    <row r="27" spans="1:10" ht="12.75">
      <c r="A27" s="201">
        <f t="shared" si="0"/>
        <v>16</v>
      </c>
      <c r="B27" s="201" t="s">
        <v>609</v>
      </c>
      <c r="C27" s="661"/>
      <c r="D27" s="662"/>
      <c r="E27" s="662"/>
      <c r="F27" s="662"/>
      <c r="G27" s="662"/>
      <c r="H27" s="662"/>
      <c r="I27" s="662"/>
      <c r="J27" s="663"/>
    </row>
    <row r="28" spans="1:10" ht="12.75">
      <c r="A28" s="201">
        <f t="shared" si="0"/>
        <v>17</v>
      </c>
      <c r="B28" s="201" t="s">
        <v>610</v>
      </c>
      <c r="C28" s="661"/>
      <c r="D28" s="662"/>
      <c r="E28" s="662"/>
      <c r="F28" s="662"/>
      <c r="G28" s="662"/>
      <c r="H28" s="662"/>
      <c r="I28" s="662"/>
      <c r="J28" s="663"/>
    </row>
    <row r="29" spans="1:10" ht="12.75">
      <c r="A29" s="201">
        <f t="shared" si="0"/>
        <v>18</v>
      </c>
      <c r="B29" s="201" t="s">
        <v>611</v>
      </c>
      <c r="C29" s="661"/>
      <c r="D29" s="662"/>
      <c r="E29" s="662"/>
      <c r="F29" s="662"/>
      <c r="G29" s="662"/>
      <c r="H29" s="662"/>
      <c r="I29" s="662"/>
      <c r="J29" s="663"/>
    </row>
    <row r="30" spans="1:10" ht="12.75">
      <c r="A30" s="201">
        <f t="shared" si="0"/>
        <v>19</v>
      </c>
      <c r="B30" s="201" t="s">
        <v>637</v>
      </c>
      <c r="C30" s="661"/>
      <c r="D30" s="662"/>
      <c r="E30" s="662"/>
      <c r="F30" s="662"/>
      <c r="G30" s="662"/>
      <c r="H30" s="662"/>
      <c r="I30" s="662"/>
      <c r="J30" s="663"/>
    </row>
    <row r="31" spans="1:10" ht="12.75">
      <c r="A31" s="201">
        <f t="shared" si="0"/>
        <v>20</v>
      </c>
      <c r="B31" s="201" t="s">
        <v>612</v>
      </c>
      <c r="C31" s="661"/>
      <c r="D31" s="662"/>
      <c r="E31" s="662"/>
      <c r="F31" s="662"/>
      <c r="G31" s="662"/>
      <c r="H31" s="662"/>
      <c r="I31" s="662"/>
      <c r="J31" s="663"/>
    </row>
    <row r="32" spans="1:10" ht="12.75">
      <c r="A32" s="201">
        <f t="shared" si="0"/>
        <v>21</v>
      </c>
      <c r="B32" s="201" t="s">
        <v>613</v>
      </c>
      <c r="C32" s="661"/>
      <c r="D32" s="662"/>
      <c r="E32" s="662"/>
      <c r="F32" s="662"/>
      <c r="G32" s="662"/>
      <c r="H32" s="662"/>
      <c r="I32" s="662"/>
      <c r="J32" s="663"/>
    </row>
    <row r="33" spans="1:10" ht="12.75">
      <c r="A33" s="201">
        <f t="shared" si="0"/>
        <v>22</v>
      </c>
      <c r="B33" s="201" t="s">
        <v>614</v>
      </c>
      <c r="C33" s="661"/>
      <c r="D33" s="662"/>
      <c r="E33" s="662"/>
      <c r="F33" s="662"/>
      <c r="G33" s="662"/>
      <c r="H33" s="662"/>
      <c r="I33" s="662"/>
      <c r="J33" s="663"/>
    </row>
    <row r="34" spans="1:10" ht="12.75">
      <c r="A34" s="201">
        <f t="shared" si="0"/>
        <v>23</v>
      </c>
      <c r="B34" s="201" t="s">
        <v>615</v>
      </c>
      <c r="C34" s="661"/>
      <c r="D34" s="662"/>
      <c r="E34" s="662"/>
      <c r="F34" s="662"/>
      <c r="G34" s="662"/>
      <c r="H34" s="662"/>
      <c r="I34" s="662"/>
      <c r="J34" s="663"/>
    </row>
    <row r="35" spans="1:10" ht="12.75">
      <c r="A35" s="201">
        <f t="shared" si="0"/>
        <v>24</v>
      </c>
      <c r="B35" s="201" t="s">
        <v>616</v>
      </c>
      <c r="C35" s="661"/>
      <c r="D35" s="662"/>
      <c r="E35" s="662"/>
      <c r="F35" s="662"/>
      <c r="G35" s="662"/>
      <c r="H35" s="662"/>
      <c r="I35" s="662"/>
      <c r="J35" s="663"/>
    </row>
    <row r="36" spans="1:10" ht="12.75">
      <c r="A36" s="201">
        <f t="shared" si="0"/>
        <v>25</v>
      </c>
      <c r="B36" s="201" t="s">
        <v>617</v>
      </c>
      <c r="C36" s="661"/>
      <c r="D36" s="662"/>
      <c r="E36" s="662"/>
      <c r="F36" s="662"/>
      <c r="G36" s="662"/>
      <c r="H36" s="662"/>
      <c r="I36" s="662"/>
      <c r="J36" s="663"/>
    </row>
    <row r="37" spans="1:10" ht="12.75">
      <c r="A37" s="201">
        <f t="shared" si="0"/>
        <v>26</v>
      </c>
      <c r="B37" s="201" t="s">
        <v>618</v>
      </c>
      <c r="C37" s="661"/>
      <c r="D37" s="662"/>
      <c r="E37" s="662"/>
      <c r="F37" s="662"/>
      <c r="G37" s="662"/>
      <c r="H37" s="662"/>
      <c r="I37" s="662"/>
      <c r="J37" s="663"/>
    </row>
    <row r="38" spans="1:10" ht="12.75">
      <c r="A38" s="201">
        <f t="shared" si="0"/>
        <v>27</v>
      </c>
      <c r="B38" s="201" t="s">
        <v>619</v>
      </c>
      <c r="C38" s="661"/>
      <c r="D38" s="662"/>
      <c r="E38" s="662"/>
      <c r="F38" s="662"/>
      <c r="G38" s="662"/>
      <c r="H38" s="662"/>
      <c r="I38" s="662"/>
      <c r="J38" s="663"/>
    </row>
    <row r="39" spans="1:10" ht="12.75">
      <c r="A39" s="201">
        <f t="shared" si="0"/>
        <v>28</v>
      </c>
      <c r="B39" s="143" t="s">
        <v>620</v>
      </c>
      <c r="C39" s="661"/>
      <c r="D39" s="662"/>
      <c r="E39" s="662"/>
      <c r="F39" s="662"/>
      <c r="G39" s="662"/>
      <c r="H39" s="662"/>
      <c r="I39" s="662"/>
      <c r="J39" s="663"/>
    </row>
    <row r="40" spans="1:10" ht="12.75">
      <c r="A40" s="201">
        <f t="shared" si="0"/>
        <v>29</v>
      </c>
      <c r="B40" s="143" t="s">
        <v>621</v>
      </c>
      <c r="C40" s="661"/>
      <c r="D40" s="662"/>
      <c r="E40" s="662"/>
      <c r="F40" s="662"/>
      <c r="G40" s="662"/>
      <c r="H40" s="662"/>
      <c r="I40" s="662"/>
      <c r="J40" s="663"/>
    </row>
    <row r="41" spans="1:10" ht="12.75">
      <c r="A41" s="201">
        <f t="shared" si="0"/>
        <v>30</v>
      </c>
      <c r="B41" s="143" t="s">
        <v>622</v>
      </c>
      <c r="C41" s="661"/>
      <c r="D41" s="662"/>
      <c r="E41" s="662"/>
      <c r="F41" s="662"/>
      <c r="G41" s="662"/>
      <c r="H41" s="662"/>
      <c r="I41" s="662"/>
      <c r="J41" s="663"/>
    </row>
    <row r="42" spans="1:10" ht="12.75">
      <c r="A42" s="201">
        <f t="shared" si="0"/>
        <v>31</v>
      </c>
      <c r="B42" s="143" t="s">
        <v>623</v>
      </c>
      <c r="C42" s="661"/>
      <c r="D42" s="662"/>
      <c r="E42" s="662"/>
      <c r="F42" s="662"/>
      <c r="G42" s="662"/>
      <c r="H42" s="662"/>
      <c r="I42" s="662"/>
      <c r="J42" s="663"/>
    </row>
    <row r="43" spans="1:10" ht="12.75">
      <c r="A43" s="150"/>
      <c r="B43" s="150" t="s">
        <v>624</v>
      </c>
      <c r="C43" s="664"/>
      <c r="D43" s="665"/>
      <c r="E43" s="665"/>
      <c r="F43" s="665"/>
      <c r="G43" s="665"/>
      <c r="H43" s="665"/>
      <c r="I43" s="665"/>
      <c r="J43" s="666"/>
    </row>
    <row r="44" spans="1:10" ht="12.75">
      <c r="A44" s="3"/>
      <c r="B44" s="18"/>
      <c r="C44" s="18"/>
      <c r="D44" s="10"/>
      <c r="E44" s="10"/>
      <c r="F44" s="10"/>
      <c r="G44" s="10"/>
      <c r="H44" s="10"/>
      <c r="I44" s="10"/>
      <c r="J44" s="10"/>
    </row>
    <row r="45" spans="1:10" ht="12.75">
      <c r="A45" s="160" t="s">
        <v>755</v>
      </c>
      <c r="B45" s="18"/>
      <c r="C45" s="18"/>
      <c r="D45" s="10"/>
      <c r="E45" s="10"/>
      <c r="F45" s="10"/>
      <c r="G45" s="10"/>
      <c r="H45" s="10"/>
      <c r="I45" s="10"/>
      <c r="J45" s="10"/>
    </row>
    <row r="46" spans="1:10" ht="12.75">
      <c r="A46" s="3"/>
      <c r="B46" s="18"/>
      <c r="C46" s="18"/>
      <c r="D46" s="10"/>
      <c r="E46" s="10"/>
      <c r="F46" s="10"/>
      <c r="G46" s="10"/>
      <c r="H46" s="10"/>
      <c r="I46" s="10"/>
      <c r="J46" s="10"/>
    </row>
    <row r="47" spans="7:10" ht="15.75">
      <c r="G47" s="621" t="s">
        <v>860</v>
      </c>
      <c r="H47" s="621"/>
      <c r="I47" s="621"/>
      <c r="J47" s="621"/>
    </row>
    <row r="48" spans="7:10" ht="15.75">
      <c r="G48" s="621" t="s">
        <v>653</v>
      </c>
      <c r="H48" s="621"/>
      <c r="I48" s="621"/>
      <c r="J48" s="621"/>
    </row>
  </sheetData>
  <sheetProtection/>
  <mergeCells count="13">
    <mergeCell ref="C9:F9"/>
    <mergeCell ref="G9:J9"/>
    <mergeCell ref="C12:J43"/>
    <mergeCell ref="G47:J47"/>
    <mergeCell ref="G48:J48"/>
    <mergeCell ref="E1:I1"/>
    <mergeCell ref="A2:J2"/>
    <mergeCell ref="A3:J3"/>
    <mergeCell ref="A5:J5"/>
    <mergeCell ref="A8:B8"/>
    <mergeCell ref="H8:J8"/>
    <mergeCell ref="A9:A10"/>
    <mergeCell ref="B9:B10"/>
  </mergeCells>
  <printOptions horizontalCentered="1"/>
  <pageMargins left="0.37" right="0.56" top="0.41" bottom="0" header="0.31496062992125984" footer="0.31496062992125984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8"/>
  <sheetViews>
    <sheetView view="pageBreakPreview" zoomScale="55" zoomScaleNormal="70" zoomScaleSheetLayoutView="55" zoomScalePageLayoutView="0" workbookViewId="0" topLeftCell="A4">
      <selection activeCell="P23" sqref="P23"/>
    </sheetView>
  </sheetViews>
  <sheetFormatPr defaultColWidth="9.140625" defaultRowHeight="12.75"/>
  <cols>
    <col min="1" max="1" width="6.7109375" style="6" customWidth="1"/>
    <col min="2" max="2" width="19.57421875" style="6" customWidth="1"/>
    <col min="3" max="3" width="12.00390625" style="6" customWidth="1"/>
    <col min="4" max="4" width="10.421875" style="6" customWidth="1"/>
    <col min="5" max="5" width="10.140625" style="6" customWidth="1"/>
    <col min="6" max="6" width="13.00390625" style="6" customWidth="1"/>
    <col min="7" max="7" width="15.140625" style="6" customWidth="1"/>
    <col min="8" max="8" width="12.421875" style="6" customWidth="1"/>
    <col min="9" max="9" width="12.140625" style="6" customWidth="1"/>
    <col min="10" max="10" width="11.7109375" style="6" customWidth="1"/>
    <col min="11" max="11" width="12.00390625" style="6" customWidth="1"/>
    <col min="12" max="12" width="14.140625" style="6" customWidth="1"/>
    <col min="13" max="13" width="9.140625" style="6" customWidth="1"/>
    <col min="14" max="14" width="10.28125" style="6" bestFit="1" customWidth="1"/>
    <col min="15" max="16384" width="9.140625" style="6" customWidth="1"/>
  </cols>
  <sheetData>
    <row r="1" spans="4:15" ht="15">
      <c r="D1" s="21"/>
      <c r="E1" s="21"/>
      <c r="F1" s="21"/>
      <c r="G1" s="21"/>
      <c r="H1" s="21"/>
      <c r="I1" s="21"/>
      <c r="J1" s="21"/>
      <c r="K1" s="21"/>
      <c r="L1" s="676" t="s">
        <v>59</v>
      </c>
      <c r="M1" s="676"/>
      <c r="N1" s="25"/>
      <c r="O1" s="25"/>
    </row>
    <row r="2" spans="1:15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27"/>
      <c r="N2" s="27"/>
      <c r="O2" s="27"/>
    </row>
    <row r="3" spans="1:15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26"/>
      <c r="N3" s="26"/>
      <c r="O3" s="26"/>
    </row>
    <row r="4" ht="10.5" customHeight="1"/>
    <row r="5" spans="1:12" ht="19.5" customHeight="1">
      <c r="A5" s="652" t="s">
        <v>714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559" t="s">
        <v>665</v>
      </c>
      <c r="B7" s="559"/>
      <c r="F7" s="677" t="s">
        <v>17</v>
      </c>
      <c r="G7" s="677"/>
      <c r="H7" s="677"/>
      <c r="I7" s="677"/>
      <c r="J7" s="677"/>
      <c r="K7" s="677"/>
      <c r="L7" s="677"/>
    </row>
    <row r="8" spans="1:12" ht="12.75">
      <c r="A8" s="5"/>
      <c r="F8" s="7"/>
      <c r="G8" s="46"/>
      <c r="H8" s="46"/>
      <c r="I8" s="640" t="s">
        <v>750</v>
      </c>
      <c r="J8" s="640"/>
      <c r="K8" s="640"/>
      <c r="L8" s="640"/>
    </row>
    <row r="9" spans="1:18" s="5" customFormat="1" ht="12.75">
      <c r="A9" s="530" t="s">
        <v>2</v>
      </c>
      <c r="B9" s="530" t="s">
        <v>3</v>
      </c>
      <c r="C9" s="537" t="s">
        <v>18</v>
      </c>
      <c r="D9" s="538"/>
      <c r="E9" s="538"/>
      <c r="F9" s="538"/>
      <c r="G9" s="538"/>
      <c r="H9" s="537" t="s">
        <v>38</v>
      </c>
      <c r="I9" s="538"/>
      <c r="J9" s="538"/>
      <c r="K9" s="538"/>
      <c r="L9" s="538"/>
      <c r="Q9" s="17"/>
      <c r="R9" s="18"/>
    </row>
    <row r="10" spans="1:12" s="5" customFormat="1" ht="77.25" customHeight="1">
      <c r="A10" s="530"/>
      <c r="B10" s="530"/>
      <c r="C10" s="1" t="s">
        <v>715</v>
      </c>
      <c r="D10" s="1" t="s">
        <v>759</v>
      </c>
      <c r="E10" s="1" t="s">
        <v>66</v>
      </c>
      <c r="F10" s="1" t="s">
        <v>67</v>
      </c>
      <c r="G10" s="1" t="s">
        <v>577</v>
      </c>
      <c r="H10" s="1" t="s">
        <v>715</v>
      </c>
      <c r="I10" s="1" t="s">
        <v>759</v>
      </c>
      <c r="J10" s="1" t="s">
        <v>66</v>
      </c>
      <c r="K10" s="1" t="s">
        <v>67</v>
      </c>
      <c r="L10" s="1" t="s">
        <v>578</v>
      </c>
    </row>
    <row r="11" spans="1:12" s="5" customFormat="1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8" s="5" customFormat="1" ht="12.75" customHeight="1">
      <c r="A12" s="201">
        <v>1</v>
      </c>
      <c r="B12" s="201" t="s">
        <v>633</v>
      </c>
      <c r="C12" s="295">
        <v>850.5366291151906</v>
      </c>
      <c r="D12" s="295">
        <v>90.00172623340735</v>
      </c>
      <c r="E12" s="295">
        <v>760.5347989359685</v>
      </c>
      <c r="F12" s="295">
        <v>830.565</v>
      </c>
      <c r="G12" s="295">
        <f>D12+E12-F12</f>
        <v>19.97152516937581</v>
      </c>
      <c r="H12" s="667" t="s">
        <v>638</v>
      </c>
      <c r="I12" s="668"/>
      <c r="J12" s="668"/>
      <c r="K12" s="668"/>
      <c r="L12" s="669"/>
      <c r="O12" s="347"/>
      <c r="P12" s="347"/>
      <c r="Q12" s="347"/>
      <c r="R12" s="347"/>
    </row>
    <row r="13" spans="1:18" s="5" customFormat="1" ht="12.75" customHeight="1">
      <c r="A13" s="201">
        <f>A12+1</f>
        <v>2</v>
      </c>
      <c r="B13" s="201" t="s">
        <v>598</v>
      </c>
      <c r="C13" s="295">
        <v>894.637163008198</v>
      </c>
      <c r="D13" s="295">
        <v>94.66833792573931</v>
      </c>
      <c r="E13" s="295">
        <v>799.9687157470278</v>
      </c>
      <c r="F13" s="295">
        <v>873.63</v>
      </c>
      <c r="G13" s="295">
        <f aca="true" t="shared" si="0" ref="G13:G42">D13+E13-F13</f>
        <v>21.00705367276703</v>
      </c>
      <c r="H13" s="670"/>
      <c r="I13" s="671"/>
      <c r="J13" s="671"/>
      <c r="K13" s="671"/>
      <c r="L13" s="672"/>
      <c r="O13" s="347"/>
      <c r="P13" s="347"/>
      <c r="Q13" s="347"/>
      <c r="R13" s="347"/>
    </row>
    <row r="14" spans="1:18" s="5" customFormat="1" ht="12.75" customHeight="1">
      <c r="A14" s="201">
        <f aca="true" t="shared" si="1" ref="A14:A42">A13+1</f>
        <v>3</v>
      </c>
      <c r="B14" s="201" t="s">
        <v>634</v>
      </c>
      <c r="C14" s="295">
        <v>1680.4054531614013</v>
      </c>
      <c r="D14" s="295">
        <v>177.8164353884334</v>
      </c>
      <c r="E14" s="295">
        <v>1502.5888124071928</v>
      </c>
      <c r="F14" s="295">
        <v>1640.9475</v>
      </c>
      <c r="G14" s="295">
        <f t="shared" si="0"/>
        <v>39.45774779562612</v>
      </c>
      <c r="H14" s="670"/>
      <c r="I14" s="671"/>
      <c r="J14" s="671"/>
      <c r="K14" s="671"/>
      <c r="L14" s="672"/>
      <c r="O14" s="347"/>
      <c r="P14" s="347"/>
      <c r="Q14" s="347"/>
      <c r="R14" s="347"/>
    </row>
    <row r="15" spans="1:18" s="5" customFormat="1" ht="12.75" customHeight="1">
      <c r="A15" s="201">
        <f t="shared" si="1"/>
        <v>4</v>
      </c>
      <c r="B15" s="201" t="s">
        <v>599</v>
      </c>
      <c r="C15" s="295">
        <v>582.2238197191242</v>
      </c>
      <c r="D15" s="295">
        <v>61.6095145525267</v>
      </c>
      <c r="E15" s="295">
        <v>520.614234011838</v>
      </c>
      <c r="F15" s="295">
        <v>568.5525</v>
      </c>
      <c r="G15" s="295">
        <f t="shared" si="0"/>
        <v>13.671248564364646</v>
      </c>
      <c r="H15" s="670"/>
      <c r="I15" s="671"/>
      <c r="J15" s="671"/>
      <c r="K15" s="671"/>
      <c r="L15" s="672"/>
      <c r="O15" s="347"/>
      <c r="P15" s="347"/>
      <c r="Q15" s="347"/>
      <c r="R15" s="347"/>
    </row>
    <row r="16" spans="1:18" s="5" customFormat="1" ht="12.75" customHeight="1">
      <c r="A16" s="201">
        <f t="shared" si="1"/>
        <v>5</v>
      </c>
      <c r="B16" s="201" t="s">
        <v>600</v>
      </c>
      <c r="C16" s="295">
        <v>366.92842332609337</v>
      </c>
      <c r="D16" s="295">
        <v>38.82747711618931</v>
      </c>
      <c r="E16" s="295">
        <v>328.1009013668337</v>
      </c>
      <c r="F16" s="295">
        <v>358.3125</v>
      </c>
      <c r="G16" s="295">
        <f t="shared" si="0"/>
        <v>8.615878483022982</v>
      </c>
      <c r="H16" s="670"/>
      <c r="I16" s="671"/>
      <c r="J16" s="671"/>
      <c r="K16" s="671"/>
      <c r="L16" s="672"/>
      <c r="O16" s="347"/>
      <c r="P16" s="347"/>
      <c r="Q16" s="347"/>
      <c r="R16" s="347"/>
    </row>
    <row r="17" spans="1:18" s="5" customFormat="1" ht="12.75" customHeight="1">
      <c r="A17" s="201">
        <f t="shared" si="1"/>
        <v>6</v>
      </c>
      <c r="B17" s="201" t="s">
        <v>601</v>
      </c>
      <c r="C17" s="295">
        <v>507.2252628634612</v>
      </c>
      <c r="D17" s="295">
        <v>53.67334890020668</v>
      </c>
      <c r="E17" s="295">
        <v>453.55185197422145</v>
      </c>
      <c r="F17" s="295">
        <v>495.315</v>
      </c>
      <c r="G17" s="295">
        <f t="shared" si="0"/>
        <v>11.910200874428142</v>
      </c>
      <c r="H17" s="670"/>
      <c r="I17" s="671"/>
      <c r="J17" s="671"/>
      <c r="K17" s="671"/>
      <c r="L17" s="672"/>
      <c r="O17" s="347"/>
      <c r="P17" s="347"/>
      <c r="Q17" s="347"/>
      <c r="R17" s="347"/>
    </row>
    <row r="18" spans="1:18" s="5" customFormat="1" ht="12.75" customHeight="1">
      <c r="A18" s="201">
        <f t="shared" si="1"/>
        <v>7</v>
      </c>
      <c r="B18" s="201" t="s">
        <v>602</v>
      </c>
      <c r="C18" s="295">
        <v>759.8701709809252</v>
      </c>
      <c r="D18" s="295">
        <v>80.40762121286073</v>
      </c>
      <c r="E18" s="295">
        <v>679.4624569027823</v>
      </c>
      <c r="F18" s="295">
        <v>742.0275</v>
      </c>
      <c r="G18" s="295">
        <f t="shared" si="0"/>
        <v>17.842578115642937</v>
      </c>
      <c r="H18" s="670"/>
      <c r="I18" s="671"/>
      <c r="J18" s="671"/>
      <c r="K18" s="671"/>
      <c r="L18" s="672"/>
      <c r="O18" s="347"/>
      <c r="P18" s="347"/>
      <c r="Q18" s="347"/>
      <c r="R18" s="347"/>
    </row>
    <row r="19" spans="1:18" s="5" customFormat="1" ht="12.75" customHeight="1">
      <c r="A19" s="201">
        <f t="shared" si="1"/>
        <v>8</v>
      </c>
      <c r="B19" s="201" t="s">
        <v>603</v>
      </c>
      <c r="C19" s="295">
        <v>952.8848901145317</v>
      </c>
      <c r="D19" s="295">
        <v>100.8319713417347</v>
      </c>
      <c r="E19" s="295">
        <v>852.0528023187927</v>
      </c>
      <c r="F19" s="295">
        <v>930.51</v>
      </c>
      <c r="G19" s="295">
        <f t="shared" si="0"/>
        <v>22.374773660527467</v>
      </c>
      <c r="H19" s="670"/>
      <c r="I19" s="671"/>
      <c r="J19" s="671"/>
      <c r="K19" s="671"/>
      <c r="L19" s="672"/>
      <c r="O19" s="347"/>
      <c r="P19" s="347"/>
      <c r="Q19" s="347"/>
      <c r="R19" s="347"/>
    </row>
    <row r="20" spans="1:18" s="5" customFormat="1" ht="12.75" customHeight="1">
      <c r="A20" s="201">
        <f t="shared" si="1"/>
        <v>9</v>
      </c>
      <c r="B20" s="201" t="s">
        <v>604</v>
      </c>
      <c r="C20" s="295">
        <v>413.4021834421832</v>
      </c>
      <c r="D20" s="295">
        <v>43.745217859884995</v>
      </c>
      <c r="E20" s="295">
        <v>369.6569150595748</v>
      </c>
      <c r="F20" s="295">
        <v>403.695</v>
      </c>
      <c r="G20" s="295">
        <f t="shared" si="0"/>
        <v>9.70713291945981</v>
      </c>
      <c r="H20" s="670"/>
      <c r="I20" s="671"/>
      <c r="J20" s="671"/>
      <c r="K20" s="671"/>
      <c r="L20" s="672"/>
      <c r="O20" s="347"/>
      <c r="P20" s="347"/>
      <c r="Q20" s="347"/>
      <c r="R20" s="347"/>
    </row>
    <row r="21" spans="1:18" s="5" customFormat="1" ht="12.75" customHeight="1">
      <c r="A21" s="201">
        <f t="shared" si="1"/>
        <v>10</v>
      </c>
      <c r="B21" s="201" t="s">
        <v>605</v>
      </c>
      <c r="C21" s="295">
        <v>976.7093164705242</v>
      </c>
      <c r="D21" s="295">
        <v>103.35301443989103</v>
      </c>
      <c r="E21" s="295">
        <v>873.356182664997</v>
      </c>
      <c r="F21" s="295">
        <v>953.7750000000001</v>
      </c>
      <c r="G21" s="295">
        <f t="shared" si="0"/>
        <v>22.93419710488797</v>
      </c>
      <c r="H21" s="670"/>
      <c r="I21" s="671"/>
      <c r="J21" s="671"/>
      <c r="K21" s="671"/>
      <c r="L21" s="672"/>
      <c r="O21" s="347"/>
      <c r="P21" s="347"/>
      <c r="Q21" s="347"/>
      <c r="R21" s="347"/>
    </row>
    <row r="22" spans="1:18" s="5" customFormat="1" ht="12.75" customHeight="1">
      <c r="A22" s="201">
        <f t="shared" si="1"/>
        <v>11</v>
      </c>
      <c r="B22" s="201" t="s">
        <v>635</v>
      </c>
      <c r="C22" s="295">
        <v>655.1947658210858</v>
      </c>
      <c r="D22" s="295">
        <v>69.33112334542915</v>
      </c>
      <c r="E22" s="295">
        <v>585.863562402969</v>
      </c>
      <c r="F22" s="295">
        <v>639.8100000000001</v>
      </c>
      <c r="G22" s="295">
        <f t="shared" si="0"/>
        <v>15.384685748398056</v>
      </c>
      <c r="H22" s="670"/>
      <c r="I22" s="671"/>
      <c r="J22" s="671"/>
      <c r="K22" s="671"/>
      <c r="L22" s="672"/>
      <c r="O22" s="347"/>
      <c r="P22" s="347"/>
      <c r="Q22" s="347"/>
      <c r="R22" s="347"/>
    </row>
    <row r="23" spans="1:18" s="5" customFormat="1" ht="12.75" customHeight="1">
      <c r="A23" s="201">
        <f t="shared" si="1"/>
        <v>12</v>
      </c>
      <c r="B23" s="201" t="s">
        <v>606</v>
      </c>
      <c r="C23" s="295">
        <v>587.2698055720858</v>
      </c>
      <c r="D23" s="295">
        <v>62.14346855494085</v>
      </c>
      <c r="E23" s="295">
        <v>525.1262652457052</v>
      </c>
      <c r="F23" s="295">
        <v>573.48</v>
      </c>
      <c r="G23" s="295">
        <f t="shared" si="0"/>
        <v>13.78973380064599</v>
      </c>
      <c r="H23" s="670"/>
      <c r="I23" s="671"/>
      <c r="J23" s="671"/>
      <c r="K23" s="671"/>
      <c r="L23" s="672"/>
      <c r="O23" s="347"/>
      <c r="P23" s="347"/>
      <c r="Q23" s="347"/>
      <c r="R23" s="347"/>
    </row>
    <row r="24" spans="1:18" s="5" customFormat="1" ht="12.75" customHeight="1">
      <c r="A24" s="201">
        <f t="shared" si="1"/>
        <v>13</v>
      </c>
      <c r="B24" s="201" t="s">
        <v>607</v>
      </c>
      <c r="C24" s="295">
        <v>1629.300445755607</v>
      </c>
      <c r="D24" s="295">
        <v>172.40862727265898</v>
      </c>
      <c r="E24" s="295">
        <v>1456.89161936282</v>
      </c>
      <c r="F24" s="295">
        <v>1591.0425</v>
      </c>
      <c r="G24" s="295">
        <f t="shared" si="0"/>
        <v>38.25774663547895</v>
      </c>
      <c r="H24" s="670"/>
      <c r="I24" s="671"/>
      <c r="J24" s="671"/>
      <c r="K24" s="671"/>
      <c r="L24" s="672"/>
      <c r="O24" s="347"/>
      <c r="P24" s="347"/>
      <c r="Q24" s="347"/>
      <c r="R24" s="347"/>
    </row>
    <row r="25" spans="1:18" s="5" customFormat="1" ht="12.75" customHeight="1">
      <c r="A25" s="201">
        <f t="shared" si="1"/>
        <v>14</v>
      </c>
      <c r="B25" s="201" t="s">
        <v>636</v>
      </c>
      <c r="C25" s="295">
        <v>473.23974170766917</v>
      </c>
      <c r="D25" s="295">
        <v>50.077083358832795</v>
      </c>
      <c r="E25" s="295">
        <v>423.1626005132431</v>
      </c>
      <c r="F25" s="295">
        <v>462.1275</v>
      </c>
      <c r="G25" s="295">
        <f t="shared" si="0"/>
        <v>11.112183872075889</v>
      </c>
      <c r="H25" s="670"/>
      <c r="I25" s="671"/>
      <c r="J25" s="671"/>
      <c r="K25" s="671"/>
      <c r="L25" s="672"/>
      <c r="O25" s="347"/>
      <c r="P25" s="347"/>
      <c r="Q25" s="347"/>
      <c r="R25" s="347"/>
    </row>
    <row r="26" spans="1:18" s="5" customFormat="1" ht="12.75" customHeight="1">
      <c r="A26" s="201">
        <f t="shared" si="1"/>
        <v>15</v>
      </c>
      <c r="B26" s="201" t="s">
        <v>608</v>
      </c>
      <c r="C26" s="295">
        <v>846.1588331696987</v>
      </c>
      <c r="D26" s="295">
        <v>89.5384784687558</v>
      </c>
      <c r="E26" s="295">
        <v>756.6202512901475</v>
      </c>
      <c r="F26" s="295">
        <v>826.2900000000001</v>
      </c>
      <c r="G26" s="295">
        <f t="shared" si="0"/>
        <v>19.868729758903214</v>
      </c>
      <c r="H26" s="670"/>
      <c r="I26" s="671"/>
      <c r="J26" s="671"/>
      <c r="K26" s="671"/>
      <c r="L26" s="672"/>
      <c r="O26" s="347"/>
      <c r="P26" s="347"/>
      <c r="Q26" s="347"/>
      <c r="R26" s="347"/>
    </row>
    <row r="27" spans="1:18" s="5" customFormat="1" ht="12.75" customHeight="1">
      <c r="A27" s="201">
        <f t="shared" si="1"/>
        <v>16</v>
      </c>
      <c r="B27" s="201" t="s">
        <v>609</v>
      </c>
      <c r="C27" s="295">
        <v>857.1954871585966</v>
      </c>
      <c r="D27" s="295">
        <v>90.70635046490366</v>
      </c>
      <c r="E27" s="295">
        <v>766.4890319340856</v>
      </c>
      <c r="F27" s="295">
        <v>837.0675</v>
      </c>
      <c r="G27" s="295">
        <f t="shared" si="0"/>
        <v>20.1278823989893</v>
      </c>
      <c r="H27" s="670"/>
      <c r="I27" s="671"/>
      <c r="J27" s="671"/>
      <c r="K27" s="671"/>
      <c r="L27" s="672"/>
      <c r="O27" s="347"/>
      <c r="P27" s="347"/>
      <c r="Q27" s="347"/>
      <c r="R27" s="347"/>
    </row>
    <row r="28" spans="1:18" ht="12.75" customHeight="1">
      <c r="A28" s="201">
        <f t="shared" si="1"/>
        <v>17</v>
      </c>
      <c r="B28" s="201" t="s">
        <v>610</v>
      </c>
      <c r="C28" s="295">
        <v>705.2398857874452</v>
      </c>
      <c r="D28" s="295">
        <v>74.62677673923531</v>
      </c>
      <c r="E28" s="295">
        <v>630.6130228594063</v>
      </c>
      <c r="F28" s="295">
        <v>688.6800000000001</v>
      </c>
      <c r="G28" s="295">
        <f t="shared" si="0"/>
        <v>16.559799598641575</v>
      </c>
      <c r="H28" s="670"/>
      <c r="I28" s="671"/>
      <c r="J28" s="671"/>
      <c r="K28" s="671"/>
      <c r="L28" s="672"/>
      <c r="O28" s="347"/>
      <c r="P28" s="347"/>
      <c r="Q28" s="347"/>
      <c r="R28" s="347"/>
    </row>
    <row r="29" spans="1:18" ht="12.75" customHeight="1">
      <c r="A29" s="201">
        <f t="shared" si="1"/>
        <v>18</v>
      </c>
      <c r="B29" s="201" t="s">
        <v>611</v>
      </c>
      <c r="C29" s="295">
        <v>1118.8955205738412</v>
      </c>
      <c r="D29" s="295">
        <v>118.3988142065475</v>
      </c>
      <c r="E29" s="295">
        <v>1000.4965696247917</v>
      </c>
      <c r="F29" s="295">
        <v>1092.6225</v>
      </c>
      <c r="G29" s="295">
        <f t="shared" si="0"/>
        <v>26.272883831339186</v>
      </c>
      <c r="H29" s="670"/>
      <c r="I29" s="671"/>
      <c r="J29" s="671"/>
      <c r="K29" s="671"/>
      <c r="L29" s="672"/>
      <c r="O29" s="347"/>
      <c r="P29" s="347"/>
      <c r="Q29" s="347"/>
      <c r="R29" s="347"/>
    </row>
    <row r="30" spans="1:18" ht="12.75" customHeight="1">
      <c r="A30" s="201">
        <f t="shared" si="1"/>
        <v>19</v>
      </c>
      <c r="B30" s="201" t="s">
        <v>637</v>
      </c>
      <c r="C30" s="295">
        <v>590.1268934523016</v>
      </c>
      <c r="D30" s="295">
        <v>62.44579867502924</v>
      </c>
      <c r="E30" s="295">
        <v>527.6810226566621</v>
      </c>
      <c r="F30" s="295">
        <v>576.27</v>
      </c>
      <c r="G30" s="295">
        <f t="shared" si="0"/>
        <v>13.856821331691322</v>
      </c>
      <c r="H30" s="670"/>
      <c r="I30" s="671"/>
      <c r="J30" s="671"/>
      <c r="K30" s="671"/>
      <c r="L30" s="672"/>
      <c r="O30" s="347"/>
      <c r="P30" s="347"/>
      <c r="Q30" s="347"/>
      <c r="R30" s="347"/>
    </row>
    <row r="31" spans="1:18" ht="12.75" customHeight="1">
      <c r="A31" s="201">
        <f t="shared" si="1"/>
        <v>20</v>
      </c>
      <c r="B31" s="201" t="s">
        <v>612</v>
      </c>
      <c r="C31" s="295">
        <v>1150.5078155065507</v>
      </c>
      <c r="D31" s="295">
        <v>121.74395069655766</v>
      </c>
      <c r="E31" s="295">
        <v>1028.7637242040882</v>
      </c>
      <c r="F31" s="295">
        <v>1123.4925</v>
      </c>
      <c r="G31" s="295">
        <f t="shared" si="0"/>
        <v>27.01517490064589</v>
      </c>
      <c r="H31" s="670"/>
      <c r="I31" s="671"/>
      <c r="J31" s="671"/>
      <c r="K31" s="671"/>
      <c r="L31" s="672"/>
      <c r="O31" s="347"/>
      <c r="P31" s="347"/>
      <c r="Q31" s="347"/>
      <c r="R31" s="347"/>
    </row>
    <row r="32" spans="1:18" ht="12.75" customHeight="1">
      <c r="A32" s="201">
        <f t="shared" si="1"/>
        <v>21</v>
      </c>
      <c r="B32" s="201" t="s">
        <v>613</v>
      </c>
      <c r="C32" s="295">
        <v>314.7865695121562</v>
      </c>
      <c r="D32" s="295">
        <v>33.309952424576345</v>
      </c>
      <c r="E32" s="295">
        <v>281.4765786168717</v>
      </c>
      <c r="F32" s="295">
        <v>307.39500000000004</v>
      </c>
      <c r="G32" s="295">
        <f t="shared" si="0"/>
        <v>7.3915310414479904</v>
      </c>
      <c r="H32" s="670"/>
      <c r="I32" s="671"/>
      <c r="J32" s="671"/>
      <c r="K32" s="671"/>
      <c r="L32" s="672"/>
      <c r="O32" s="347"/>
      <c r="P32" s="347"/>
      <c r="Q32" s="347"/>
      <c r="R32" s="347"/>
    </row>
    <row r="33" spans="1:18" ht="12.75" customHeight="1">
      <c r="A33" s="201">
        <f t="shared" si="1"/>
        <v>22</v>
      </c>
      <c r="B33" s="201" t="s">
        <v>614</v>
      </c>
      <c r="C33" s="295">
        <v>370.59194730153126</v>
      </c>
      <c r="D33" s="295">
        <v>39.215142350818766</v>
      </c>
      <c r="E33" s="295">
        <v>331.37675965991536</v>
      </c>
      <c r="F33" s="295">
        <v>361.89000000000004</v>
      </c>
      <c r="G33" s="295">
        <f t="shared" si="0"/>
        <v>8.701902010734102</v>
      </c>
      <c r="H33" s="670"/>
      <c r="I33" s="671"/>
      <c r="J33" s="671"/>
      <c r="K33" s="671"/>
      <c r="L33" s="672"/>
      <c r="O33" s="347"/>
      <c r="P33" s="347"/>
      <c r="Q33" s="347"/>
      <c r="R33" s="347"/>
    </row>
    <row r="34" spans="1:18" ht="12.75" customHeight="1">
      <c r="A34" s="201">
        <f t="shared" si="1"/>
        <v>23</v>
      </c>
      <c r="B34" s="201" t="s">
        <v>615</v>
      </c>
      <c r="C34" s="295">
        <v>1620.5678948959153</v>
      </c>
      <c r="D34" s="295">
        <v>171.48456988948564</v>
      </c>
      <c r="E34" s="295">
        <v>1449.0831269535245</v>
      </c>
      <c r="F34" s="295">
        <v>1582.515</v>
      </c>
      <c r="G34" s="295">
        <f t="shared" si="0"/>
        <v>38.052696843009926</v>
      </c>
      <c r="H34" s="670"/>
      <c r="I34" s="671"/>
      <c r="J34" s="671"/>
      <c r="K34" s="671"/>
      <c r="L34" s="672"/>
      <c r="O34" s="347"/>
      <c r="P34" s="347"/>
      <c r="Q34" s="347"/>
      <c r="R34" s="347"/>
    </row>
    <row r="35" spans="1:18" ht="12.75" customHeight="1">
      <c r="A35" s="201">
        <f t="shared" si="1"/>
        <v>24</v>
      </c>
      <c r="B35" s="201" t="s">
        <v>616</v>
      </c>
      <c r="C35" s="295">
        <v>1255.920533667736</v>
      </c>
      <c r="D35" s="295">
        <v>132.89846924014108</v>
      </c>
      <c r="E35" s="295">
        <v>1123.021910938987</v>
      </c>
      <c r="F35" s="295">
        <v>1226.43</v>
      </c>
      <c r="G35" s="295">
        <f t="shared" si="0"/>
        <v>29.490380179128124</v>
      </c>
      <c r="H35" s="670"/>
      <c r="I35" s="671"/>
      <c r="J35" s="671"/>
      <c r="K35" s="671"/>
      <c r="L35" s="672"/>
      <c r="O35" s="347"/>
      <c r="P35" s="347"/>
      <c r="Q35" s="347"/>
      <c r="R35" s="347"/>
    </row>
    <row r="36" spans="1:18" ht="12.75" customHeight="1">
      <c r="A36" s="201">
        <f t="shared" si="1"/>
        <v>25</v>
      </c>
      <c r="B36" s="201" t="s">
        <v>617</v>
      </c>
      <c r="C36" s="295">
        <v>818.1639801498429</v>
      </c>
      <c r="D36" s="295">
        <v>86.57613092111562</v>
      </c>
      <c r="E36" s="295">
        <v>731.5877492392399</v>
      </c>
      <c r="F36" s="295">
        <v>798.9525</v>
      </c>
      <c r="G36" s="295">
        <f t="shared" si="0"/>
        <v>19.211380160355475</v>
      </c>
      <c r="H36" s="670"/>
      <c r="I36" s="671"/>
      <c r="J36" s="671"/>
      <c r="K36" s="671"/>
      <c r="L36" s="672"/>
      <c r="O36" s="347"/>
      <c r="P36" s="347"/>
      <c r="Q36" s="347"/>
      <c r="R36" s="347"/>
    </row>
    <row r="37" spans="1:18" ht="12.75" customHeight="1">
      <c r="A37" s="201">
        <f t="shared" si="1"/>
        <v>26</v>
      </c>
      <c r="B37" s="201" t="s">
        <v>618</v>
      </c>
      <c r="C37" s="295">
        <v>686.9453069415478</v>
      </c>
      <c r="D37" s="295">
        <v>72.69088871221777</v>
      </c>
      <c r="E37" s="295">
        <v>614.254334276344</v>
      </c>
      <c r="F37" s="295">
        <v>670.815</v>
      </c>
      <c r="G37" s="295">
        <f t="shared" si="0"/>
        <v>16.13022298856174</v>
      </c>
      <c r="H37" s="670"/>
      <c r="I37" s="671"/>
      <c r="J37" s="671"/>
      <c r="K37" s="671"/>
      <c r="L37" s="672"/>
      <c r="O37" s="347"/>
      <c r="P37" s="347"/>
      <c r="Q37" s="347"/>
      <c r="R37" s="347"/>
    </row>
    <row r="38" spans="1:18" ht="12.75" customHeight="1">
      <c r="A38" s="201">
        <f t="shared" si="1"/>
        <v>27</v>
      </c>
      <c r="B38" s="201" t="s">
        <v>619</v>
      </c>
      <c r="C38" s="295">
        <v>1033.2980893238293</v>
      </c>
      <c r="D38" s="295">
        <v>109.34110133454477</v>
      </c>
      <c r="E38" s="295">
        <v>923.9568617078193</v>
      </c>
      <c r="F38" s="295">
        <v>1009.0350000000001</v>
      </c>
      <c r="G38" s="295">
        <f t="shared" si="0"/>
        <v>24.262963042363936</v>
      </c>
      <c r="H38" s="670"/>
      <c r="I38" s="671"/>
      <c r="J38" s="671"/>
      <c r="K38" s="671"/>
      <c r="L38" s="672"/>
      <c r="O38" s="347"/>
      <c r="P38" s="347"/>
      <c r="Q38" s="347"/>
      <c r="R38" s="347"/>
    </row>
    <row r="39" spans="1:18" ht="12.75" customHeight="1">
      <c r="A39" s="201">
        <f t="shared" si="1"/>
        <v>28</v>
      </c>
      <c r="B39" s="143" t="s">
        <v>620</v>
      </c>
      <c r="C39" s="295">
        <v>526.5106060549174</v>
      </c>
      <c r="D39" s="295">
        <v>55.714077210803254</v>
      </c>
      <c r="E39" s="295">
        <v>470.79646449818</v>
      </c>
      <c r="F39" s="295">
        <v>514.1475</v>
      </c>
      <c r="G39" s="295">
        <f t="shared" si="0"/>
        <v>12.363041708983246</v>
      </c>
      <c r="H39" s="670"/>
      <c r="I39" s="671"/>
      <c r="J39" s="671"/>
      <c r="K39" s="671"/>
      <c r="L39" s="672"/>
      <c r="O39" s="347"/>
      <c r="P39" s="347"/>
      <c r="Q39" s="347"/>
      <c r="R39" s="347"/>
    </row>
    <row r="40" spans="1:18" ht="12.75" customHeight="1">
      <c r="A40" s="201">
        <f t="shared" si="1"/>
        <v>29</v>
      </c>
      <c r="B40" s="143" t="s">
        <v>621</v>
      </c>
      <c r="C40" s="295">
        <v>405.93688930355495</v>
      </c>
      <c r="D40" s="295">
        <v>42.95525851384761</v>
      </c>
      <c r="E40" s="295">
        <v>362.9815811793328</v>
      </c>
      <c r="F40" s="295">
        <v>396.40500000000003</v>
      </c>
      <c r="G40" s="295">
        <f t="shared" si="0"/>
        <v>9.531839693180416</v>
      </c>
      <c r="H40" s="670"/>
      <c r="I40" s="671"/>
      <c r="J40" s="671"/>
      <c r="K40" s="671"/>
      <c r="L40" s="672"/>
      <c r="O40" s="347"/>
      <c r="P40" s="347"/>
      <c r="Q40" s="347"/>
      <c r="R40" s="347"/>
    </row>
    <row r="41" spans="1:18" ht="12.75" customHeight="1">
      <c r="A41" s="201">
        <f t="shared" si="1"/>
        <v>30</v>
      </c>
      <c r="B41" s="143" t="s">
        <v>622</v>
      </c>
      <c r="C41" s="295">
        <v>485.359324167294</v>
      </c>
      <c r="D41" s="295">
        <v>51.35954822307867</v>
      </c>
      <c r="E41" s="295">
        <v>433.99971662746316</v>
      </c>
      <c r="F41" s="295">
        <v>473.96250000000003</v>
      </c>
      <c r="G41" s="295">
        <f t="shared" si="0"/>
        <v>11.396764850541786</v>
      </c>
      <c r="H41" s="670"/>
      <c r="I41" s="671"/>
      <c r="J41" s="671"/>
      <c r="K41" s="671"/>
      <c r="L41" s="672"/>
      <c r="O41" s="347"/>
      <c r="P41" s="347"/>
      <c r="Q41" s="347"/>
      <c r="R41" s="347"/>
    </row>
    <row r="42" spans="1:18" ht="12.75" customHeight="1">
      <c r="A42" s="201">
        <f t="shared" si="1"/>
        <v>31</v>
      </c>
      <c r="B42" s="143" t="s">
        <v>623</v>
      </c>
      <c r="C42" s="295">
        <v>431.4663519751601</v>
      </c>
      <c r="D42" s="295">
        <v>45.656724425605084</v>
      </c>
      <c r="E42" s="295">
        <v>385.80957481917284</v>
      </c>
      <c r="F42" s="295">
        <v>421.33500000000004</v>
      </c>
      <c r="G42" s="295">
        <f t="shared" si="0"/>
        <v>10.131299244777892</v>
      </c>
      <c r="H42" s="670"/>
      <c r="I42" s="671"/>
      <c r="J42" s="671"/>
      <c r="K42" s="671"/>
      <c r="L42" s="672"/>
      <c r="O42" s="347"/>
      <c r="P42" s="347"/>
      <c r="Q42" s="347"/>
      <c r="R42" s="347"/>
    </row>
    <row r="43" spans="1:12" s="5" customFormat="1" ht="12.75">
      <c r="A43" s="150"/>
      <c r="B43" s="150" t="s">
        <v>624</v>
      </c>
      <c r="C43" s="297">
        <f>SUM(C12:C42)</f>
        <v>24547.499999999996</v>
      </c>
      <c r="D43" s="297">
        <f>SUM(D12:D42)</f>
        <v>2597.557</v>
      </c>
      <c r="E43" s="297">
        <f>SUM(E12:E42)</f>
        <v>21949.94</v>
      </c>
      <c r="F43" s="297">
        <f>SUM(F12:F42)</f>
        <v>23971.094999999994</v>
      </c>
      <c r="G43" s="297">
        <f>SUM(G12:G42)</f>
        <v>576.4019999999969</v>
      </c>
      <c r="H43" s="673"/>
      <c r="I43" s="674"/>
      <c r="J43" s="674"/>
      <c r="K43" s="674"/>
      <c r="L43" s="675"/>
    </row>
    <row r="44" spans="1:12" ht="12.75">
      <c r="A44" s="9" t="s">
        <v>579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>
      <c r="A45" s="5"/>
      <c r="B45" s="5"/>
      <c r="C45" s="337"/>
      <c r="D45" s="323"/>
      <c r="E45" s="323"/>
      <c r="F45" s="366"/>
      <c r="G45" s="337"/>
      <c r="H45" s="5"/>
      <c r="I45" s="5"/>
      <c r="J45" s="5"/>
      <c r="K45" s="5"/>
      <c r="L45" s="5"/>
    </row>
    <row r="46" ht="12.75">
      <c r="A46" s="5"/>
    </row>
    <row r="47" spans="9:12" ht="15.75">
      <c r="I47" s="621" t="s">
        <v>860</v>
      </c>
      <c r="J47" s="621"/>
      <c r="K47" s="621"/>
      <c r="L47" s="621"/>
    </row>
    <row r="48" spans="9:12" ht="15.75">
      <c r="I48" s="621" t="s">
        <v>653</v>
      </c>
      <c r="J48" s="621"/>
      <c r="K48" s="621"/>
      <c r="L48" s="621"/>
    </row>
  </sheetData>
  <sheetProtection/>
  <mergeCells count="14">
    <mergeCell ref="B9:B10"/>
    <mergeCell ref="C9:G9"/>
    <mergeCell ref="H9:L9"/>
    <mergeCell ref="I8:L8"/>
    <mergeCell ref="I47:L47"/>
    <mergeCell ref="I48:L48"/>
    <mergeCell ref="H12:L43"/>
    <mergeCell ref="L1:M1"/>
    <mergeCell ref="A3:L3"/>
    <mergeCell ref="A2:L2"/>
    <mergeCell ref="A5:L5"/>
    <mergeCell ref="A7:B7"/>
    <mergeCell ref="F7:L7"/>
    <mergeCell ref="A9:A10"/>
  </mergeCells>
  <printOptions horizontalCentered="1"/>
  <pageMargins left="0.4" right="0.4" top="0.47" bottom="0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9"/>
  <sheetViews>
    <sheetView view="pageBreakPreview" zoomScale="55" zoomScaleNormal="70" zoomScaleSheetLayoutView="55" zoomScalePageLayoutView="0" workbookViewId="0" topLeftCell="A10">
      <selection activeCell="P23" sqref="P23"/>
    </sheetView>
  </sheetViews>
  <sheetFormatPr defaultColWidth="9.140625" defaultRowHeight="12.75"/>
  <cols>
    <col min="1" max="1" width="6.00390625" style="6" customWidth="1"/>
    <col min="2" max="2" width="19.7109375" style="6" customWidth="1"/>
    <col min="3" max="3" width="10.57421875" style="6" customWidth="1"/>
    <col min="4" max="4" width="9.8515625" style="6" customWidth="1"/>
    <col min="5" max="5" width="8.7109375" style="6" customWidth="1"/>
    <col min="6" max="6" width="10.8515625" style="6" customWidth="1"/>
    <col min="7" max="7" width="13.140625" style="6" customWidth="1"/>
    <col min="8" max="8" width="12.421875" style="6" customWidth="1"/>
    <col min="9" max="9" width="12.140625" style="6" customWidth="1"/>
    <col min="10" max="10" width="9.00390625" style="6" customWidth="1"/>
    <col min="11" max="11" width="12.00390625" style="6" customWidth="1"/>
    <col min="12" max="12" width="13.7109375" style="6" customWidth="1"/>
    <col min="13" max="13" width="9.140625" style="6" hidden="1" customWidth="1"/>
    <col min="14" max="14" width="9.140625" style="6" customWidth="1"/>
    <col min="15" max="15" width="11.7109375" style="6" bestFit="1" customWidth="1"/>
    <col min="16" max="16384" width="9.140625" style="6" customWidth="1"/>
  </cols>
  <sheetData>
    <row r="1" spans="4:16" ht="15">
      <c r="D1" s="21"/>
      <c r="E1" s="21"/>
      <c r="F1" s="21"/>
      <c r="G1" s="21"/>
      <c r="H1" s="21"/>
      <c r="I1" s="21"/>
      <c r="J1" s="21"/>
      <c r="K1" s="21"/>
      <c r="L1" s="678" t="s">
        <v>68</v>
      </c>
      <c r="M1" s="678"/>
      <c r="N1" s="678"/>
      <c r="O1" s="25"/>
      <c r="P1" s="25"/>
    </row>
    <row r="2" spans="1:16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27"/>
      <c r="N2" s="27"/>
      <c r="O2" s="27"/>
      <c r="P2" s="27"/>
    </row>
    <row r="3" spans="1:16" ht="20.25">
      <c r="A3" s="654" t="s">
        <v>695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26"/>
      <c r="N3" s="26"/>
      <c r="O3" s="26"/>
      <c r="P3" s="26"/>
    </row>
    <row r="4" ht="10.5" customHeight="1"/>
    <row r="5" spans="1:12" ht="19.5" customHeight="1">
      <c r="A5" s="652" t="s">
        <v>716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559" t="s">
        <v>665</v>
      </c>
      <c r="B7" s="559"/>
      <c r="F7" s="677" t="s">
        <v>17</v>
      </c>
      <c r="G7" s="677"/>
      <c r="H7" s="677"/>
      <c r="I7" s="677"/>
      <c r="J7" s="677"/>
      <c r="K7" s="677"/>
      <c r="L7" s="677"/>
    </row>
    <row r="8" spans="1:12" ht="12.75">
      <c r="A8" s="5"/>
      <c r="F8" s="7"/>
      <c r="G8" s="46"/>
      <c r="H8" s="46"/>
      <c r="I8" s="640" t="s">
        <v>750</v>
      </c>
      <c r="J8" s="640"/>
      <c r="K8" s="640"/>
      <c r="L8" s="640"/>
    </row>
    <row r="9" spans="1:19" s="5" customFormat="1" ht="12.75">
      <c r="A9" s="530" t="s">
        <v>2</v>
      </c>
      <c r="B9" s="530" t="s">
        <v>3</v>
      </c>
      <c r="C9" s="537" t="s">
        <v>18</v>
      </c>
      <c r="D9" s="538"/>
      <c r="E9" s="538"/>
      <c r="F9" s="538"/>
      <c r="G9" s="538"/>
      <c r="H9" s="537" t="s">
        <v>38</v>
      </c>
      <c r="I9" s="538"/>
      <c r="J9" s="538"/>
      <c r="K9" s="538"/>
      <c r="L9" s="538"/>
      <c r="R9" s="17"/>
      <c r="S9" s="18"/>
    </row>
    <row r="10" spans="1:12" s="5" customFormat="1" ht="77.25" customHeight="1">
      <c r="A10" s="530"/>
      <c r="B10" s="530"/>
      <c r="C10" s="1" t="s">
        <v>715</v>
      </c>
      <c r="D10" s="1" t="s">
        <v>785</v>
      </c>
      <c r="E10" s="1" t="s">
        <v>66</v>
      </c>
      <c r="F10" s="1" t="s">
        <v>67</v>
      </c>
      <c r="G10" s="1" t="s">
        <v>580</v>
      </c>
      <c r="H10" s="1" t="s">
        <v>715</v>
      </c>
      <c r="I10" s="1" t="s">
        <v>785</v>
      </c>
      <c r="J10" s="1" t="s">
        <v>66</v>
      </c>
      <c r="K10" s="1" t="s">
        <v>67</v>
      </c>
      <c r="L10" s="1" t="s">
        <v>581</v>
      </c>
    </row>
    <row r="11" spans="1:12" s="5" customFormat="1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20" s="5" customFormat="1" ht="12.75" customHeight="1">
      <c r="A12" s="201">
        <v>1</v>
      </c>
      <c r="B12" s="201" t="s">
        <v>633</v>
      </c>
      <c r="C12" s="295">
        <v>553.4976336530393</v>
      </c>
      <c r="D12" s="295">
        <v>82.45544802490726</v>
      </c>
      <c r="E12" s="295">
        <v>469.3563418945519</v>
      </c>
      <c r="F12" s="295">
        <v>522.8549999999999</v>
      </c>
      <c r="G12" s="295">
        <f>SUM(D12+E12-F12)</f>
        <v>28.95678991945931</v>
      </c>
      <c r="H12" s="667" t="s">
        <v>638</v>
      </c>
      <c r="I12" s="668"/>
      <c r="J12" s="668"/>
      <c r="K12" s="668"/>
      <c r="L12" s="669"/>
      <c r="O12" s="347"/>
      <c r="P12" s="347"/>
      <c r="Q12" s="347"/>
      <c r="R12" s="347"/>
      <c r="T12" s="349"/>
    </row>
    <row r="13" spans="1:20" s="5" customFormat="1" ht="12.75" customHeight="1">
      <c r="A13" s="201">
        <f>A12+1</f>
        <v>2</v>
      </c>
      <c r="B13" s="201" t="s">
        <v>598</v>
      </c>
      <c r="C13" s="295">
        <v>628.3834482758622</v>
      </c>
      <c r="D13" s="295">
        <v>93.61131034482759</v>
      </c>
      <c r="E13" s="295">
        <v>532.8582068965518</v>
      </c>
      <c r="F13" s="295">
        <v>597.4274999999999</v>
      </c>
      <c r="G13" s="295">
        <f aca="true" t="shared" si="0" ref="G13:G42">SUM(D13+E13-F13)</f>
        <v>29.04201724137954</v>
      </c>
      <c r="H13" s="670"/>
      <c r="I13" s="671"/>
      <c r="J13" s="671"/>
      <c r="K13" s="671"/>
      <c r="L13" s="672"/>
      <c r="O13" s="347"/>
      <c r="P13" s="347"/>
      <c r="Q13" s="347"/>
      <c r="R13" s="347"/>
      <c r="T13" s="349"/>
    </row>
    <row r="14" spans="1:20" s="5" customFormat="1" ht="12.75" customHeight="1">
      <c r="A14" s="201">
        <f aca="true" t="shared" si="1" ref="A14:A42">A13+1</f>
        <v>3</v>
      </c>
      <c r="B14" s="201" t="s">
        <v>634</v>
      </c>
      <c r="C14" s="295">
        <v>1384.4943713974262</v>
      </c>
      <c r="D14" s="295">
        <v>206.25039158360323</v>
      </c>
      <c r="E14" s="295">
        <v>1174.0270852540525</v>
      </c>
      <c r="F14" s="295">
        <v>1307.8462499999998</v>
      </c>
      <c r="G14" s="295">
        <f t="shared" si="0"/>
        <v>72.43122683765591</v>
      </c>
      <c r="H14" s="670"/>
      <c r="I14" s="671"/>
      <c r="J14" s="671"/>
      <c r="K14" s="671"/>
      <c r="L14" s="672"/>
      <c r="O14" s="347"/>
      <c r="P14" s="347"/>
      <c r="Q14" s="347"/>
      <c r="R14" s="347"/>
      <c r="T14" s="349"/>
    </row>
    <row r="15" spans="1:20" s="5" customFormat="1" ht="12.75" customHeight="1">
      <c r="A15" s="201">
        <f t="shared" si="1"/>
        <v>4</v>
      </c>
      <c r="B15" s="201" t="s">
        <v>599</v>
      </c>
      <c r="C15" s="295">
        <v>663.5754937927899</v>
      </c>
      <c r="D15" s="295">
        <v>98.85392694078251</v>
      </c>
      <c r="E15" s="295">
        <v>562.7004478445335</v>
      </c>
      <c r="F15" s="295">
        <v>626.8387499999999</v>
      </c>
      <c r="G15" s="295">
        <f t="shared" si="0"/>
        <v>34.715624785316095</v>
      </c>
      <c r="H15" s="670"/>
      <c r="I15" s="671"/>
      <c r="J15" s="671"/>
      <c r="K15" s="671"/>
      <c r="L15" s="672"/>
      <c r="O15" s="347"/>
      <c r="P15" s="347"/>
      <c r="Q15" s="347"/>
      <c r="R15" s="347"/>
      <c r="T15" s="349"/>
    </row>
    <row r="16" spans="1:20" s="5" customFormat="1" ht="12.75" customHeight="1">
      <c r="A16" s="201">
        <f t="shared" si="1"/>
        <v>5</v>
      </c>
      <c r="B16" s="201" t="s">
        <v>600</v>
      </c>
      <c r="C16" s="295">
        <v>415.6234167496648</v>
      </c>
      <c r="D16" s="295">
        <v>61.91610036623717</v>
      </c>
      <c r="E16" s="295">
        <v>352.44141009936243</v>
      </c>
      <c r="F16" s="295">
        <v>392.61375</v>
      </c>
      <c r="G16" s="295">
        <f t="shared" si="0"/>
        <v>21.74376046559962</v>
      </c>
      <c r="H16" s="670"/>
      <c r="I16" s="671"/>
      <c r="J16" s="671"/>
      <c r="K16" s="671"/>
      <c r="L16" s="672"/>
      <c r="O16" s="347"/>
      <c r="P16" s="347"/>
      <c r="Q16" s="347"/>
      <c r="R16" s="347"/>
      <c r="T16" s="349"/>
    </row>
    <row r="17" spans="1:20" s="5" customFormat="1" ht="12.75" customHeight="1">
      <c r="A17" s="201">
        <f t="shared" si="1"/>
        <v>6</v>
      </c>
      <c r="B17" s="201" t="s">
        <v>601</v>
      </c>
      <c r="C17" s="295">
        <v>385.11173464666354</v>
      </c>
      <c r="D17" s="295">
        <v>57.370725165277264</v>
      </c>
      <c r="E17" s="295">
        <v>326.56803571400565</v>
      </c>
      <c r="F17" s="295">
        <v>364.19025</v>
      </c>
      <c r="G17" s="295">
        <f t="shared" si="0"/>
        <v>19.74851087928289</v>
      </c>
      <c r="H17" s="670"/>
      <c r="I17" s="671"/>
      <c r="J17" s="671"/>
      <c r="K17" s="671"/>
      <c r="L17" s="672"/>
      <c r="O17" s="347"/>
      <c r="P17" s="347"/>
      <c r="Q17" s="347"/>
      <c r="R17" s="347"/>
      <c r="T17" s="349"/>
    </row>
    <row r="18" spans="1:20" s="5" customFormat="1" ht="12.75" customHeight="1">
      <c r="A18" s="201">
        <f t="shared" si="1"/>
        <v>7</v>
      </c>
      <c r="B18" s="201" t="s">
        <v>602</v>
      </c>
      <c r="C18" s="295">
        <v>613.0561512943779</v>
      </c>
      <c r="D18" s="295">
        <v>91.32797783755382</v>
      </c>
      <c r="E18" s="295">
        <v>519.8609263212378</v>
      </c>
      <c r="F18" s="295">
        <v>579.1162499999999</v>
      </c>
      <c r="G18" s="295">
        <f t="shared" si="0"/>
        <v>32.07265415879169</v>
      </c>
      <c r="H18" s="670"/>
      <c r="I18" s="671"/>
      <c r="J18" s="671"/>
      <c r="K18" s="671"/>
      <c r="L18" s="672"/>
      <c r="O18" s="347"/>
      <c r="P18" s="347"/>
      <c r="Q18" s="347"/>
      <c r="R18" s="347"/>
      <c r="T18" s="349"/>
    </row>
    <row r="19" spans="1:20" s="5" customFormat="1" ht="12.75" customHeight="1">
      <c r="A19" s="201">
        <f t="shared" si="1"/>
        <v>8</v>
      </c>
      <c r="B19" s="201" t="s">
        <v>603</v>
      </c>
      <c r="C19" s="295">
        <v>821.4216431265833</v>
      </c>
      <c r="D19" s="295">
        <v>122.36852604832448</v>
      </c>
      <c r="E19" s="295">
        <v>696.5512300863442</v>
      </c>
      <c r="F19" s="295">
        <v>777.83625</v>
      </c>
      <c r="G19" s="295">
        <f t="shared" si="0"/>
        <v>41.08350613466871</v>
      </c>
      <c r="H19" s="670"/>
      <c r="I19" s="671"/>
      <c r="J19" s="671"/>
      <c r="K19" s="671"/>
      <c r="L19" s="672"/>
      <c r="O19" s="347"/>
      <c r="P19" s="347"/>
      <c r="Q19" s="347"/>
      <c r="R19" s="347"/>
      <c r="T19" s="349"/>
    </row>
    <row r="20" spans="1:20" s="5" customFormat="1" ht="12.75" customHeight="1">
      <c r="A20" s="201">
        <f t="shared" si="1"/>
        <v>9</v>
      </c>
      <c r="B20" s="201" t="s">
        <v>604</v>
      </c>
      <c r="C20" s="295">
        <v>510.37397990793096</v>
      </c>
      <c r="D20" s="295">
        <v>76.03124677483865</v>
      </c>
      <c r="E20" s="295">
        <v>432.78823547403016</v>
      </c>
      <c r="F20" s="295">
        <v>482.11875</v>
      </c>
      <c r="G20" s="295">
        <f t="shared" si="0"/>
        <v>26.700732248868803</v>
      </c>
      <c r="H20" s="670"/>
      <c r="I20" s="671"/>
      <c r="J20" s="671"/>
      <c r="K20" s="671"/>
      <c r="L20" s="672"/>
      <c r="O20" s="347"/>
      <c r="P20" s="347"/>
      <c r="Q20" s="347"/>
      <c r="R20" s="347"/>
      <c r="T20" s="349"/>
    </row>
    <row r="21" spans="1:20" s="5" customFormat="1" ht="12.75" customHeight="1">
      <c r="A21" s="201">
        <f t="shared" si="1"/>
        <v>10</v>
      </c>
      <c r="B21" s="201" t="s">
        <v>605</v>
      </c>
      <c r="C21" s="295">
        <v>896.2360018194223</v>
      </c>
      <c r="D21" s="295">
        <v>133.51374346145099</v>
      </c>
      <c r="E21" s="295">
        <v>759.9925017057085</v>
      </c>
      <c r="F21" s="295">
        <v>848.5927499999999</v>
      </c>
      <c r="G21" s="295">
        <f t="shared" si="0"/>
        <v>44.91349516715957</v>
      </c>
      <c r="H21" s="670"/>
      <c r="I21" s="671"/>
      <c r="J21" s="671"/>
      <c r="K21" s="671"/>
      <c r="L21" s="672"/>
      <c r="O21" s="347"/>
      <c r="P21" s="347"/>
      <c r="Q21" s="347"/>
      <c r="R21" s="347"/>
      <c r="T21" s="349"/>
    </row>
    <row r="22" spans="1:20" s="5" customFormat="1" ht="12.75" customHeight="1">
      <c r="A22" s="201">
        <f t="shared" si="1"/>
        <v>11</v>
      </c>
      <c r="B22" s="201" t="s">
        <v>635</v>
      </c>
      <c r="C22" s="295">
        <v>370.28462917506454</v>
      </c>
      <c r="D22" s="295">
        <v>55.161907005560224</v>
      </c>
      <c r="E22" s="295">
        <v>313.9949088171402</v>
      </c>
      <c r="F22" s="295">
        <v>349.78499999999997</v>
      </c>
      <c r="G22" s="295">
        <f t="shared" si="0"/>
        <v>19.371815822700455</v>
      </c>
      <c r="H22" s="670"/>
      <c r="I22" s="671"/>
      <c r="J22" s="671"/>
      <c r="K22" s="671"/>
      <c r="L22" s="672"/>
      <c r="O22" s="347"/>
      <c r="P22" s="347"/>
      <c r="Q22" s="347"/>
      <c r="R22" s="347"/>
      <c r="T22" s="349"/>
    </row>
    <row r="23" spans="1:20" s="5" customFormat="1" ht="12.75" customHeight="1">
      <c r="A23" s="201">
        <f t="shared" si="1"/>
        <v>12</v>
      </c>
      <c r="B23" s="201" t="s">
        <v>606</v>
      </c>
      <c r="C23" s="295">
        <v>485.6859560985939</v>
      </c>
      <c r="D23" s="295">
        <v>72.35343147757483</v>
      </c>
      <c r="E23" s="295">
        <v>411.85322177346626</v>
      </c>
      <c r="F23" s="295">
        <v>460.60349999999994</v>
      </c>
      <c r="G23" s="295">
        <f t="shared" si="0"/>
        <v>23.603153251041135</v>
      </c>
      <c r="H23" s="670"/>
      <c r="I23" s="671"/>
      <c r="J23" s="671"/>
      <c r="K23" s="671"/>
      <c r="L23" s="672"/>
      <c r="O23" s="347"/>
      <c r="P23" s="347"/>
      <c r="Q23" s="347"/>
      <c r="R23" s="347"/>
      <c r="T23" s="349"/>
    </row>
    <row r="24" spans="1:20" s="5" customFormat="1" ht="12.75" customHeight="1">
      <c r="A24" s="201">
        <f t="shared" si="1"/>
        <v>13</v>
      </c>
      <c r="B24" s="201" t="s">
        <v>607</v>
      </c>
      <c r="C24" s="295">
        <v>1475.7793219514874</v>
      </c>
      <c r="D24" s="295">
        <v>219.8492600127046</v>
      </c>
      <c r="E24" s="295">
        <v>1251.4351315708986</v>
      </c>
      <c r="F24" s="295">
        <v>1403.6325</v>
      </c>
      <c r="G24" s="295">
        <f t="shared" si="0"/>
        <v>67.6518915836034</v>
      </c>
      <c r="H24" s="670"/>
      <c r="I24" s="671"/>
      <c r="J24" s="671"/>
      <c r="K24" s="671"/>
      <c r="L24" s="672"/>
      <c r="O24" s="347"/>
      <c r="P24" s="347"/>
      <c r="Q24" s="347"/>
      <c r="R24" s="347"/>
      <c r="T24" s="349"/>
    </row>
    <row r="25" spans="1:20" s="5" customFormat="1" ht="12.75" customHeight="1">
      <c r="A25" s="201">
        <f t="shared" si="1"/>
        <v>14</v>
      </c>
      <c r="B25" s="201" t="s">
        <v>636</v>
      </c>
      <c r="C25" s="295">
        <v>537.6344171966781</v>
      </c>
      <c r="D25" s="295">
        <v>80.09227871667987</v>
      </c>
      <c r="E25" s="295">
        <v>455.9046109494719</v>
      </c>
      <c r="F25" s="295">
        <v>507.86999999999995</v>
      </c>
      <c r="G25" s="295">
        <f t="shared" si="0"/>
        <v>28.12688966615184</v>
      </c>
      <c r="H25" s="670"/>
      <c r="I25" s="671"/>
      <c r="J25" s="671"/>
      <c r="K25" s="671"/>
      <c r="L25" s="672"/>
      <c r="O25" s="347"/>
      <c r="P25" s="347"/>
      <c r="Q25" s="347"/>
      <c r="R25" s="347"/>
      <c r="T25" s="349"/>
    </row>
    <row r="26" spans="1:20" s="5" customFormat="1" ht="12.75" customHeight="1">
      <c r="A26" s="201">
        <f t="shared" si="1"/>
        <v>15</v>
      </c>
      <c r="B26" s="201" t="s">
        <v>608</v>
      </c>
      <c r="C26" s="295">
        <v>836.1415647032068</v>
      </c>
      <c r="D26" s="295">
        <v>124.5613768478508</v>
      </c>
      <c r="E26" s="295">
        <v>709.0334669092564</v>
      </c>
      <c r="F26" s="295">
        <v>789.8512499999999</v>
      </c>
      <c r="G26" s="295">
        <f t="shared" si="0"/>
        <v>43.74359375710719</v>
      </c>
      <c r="H26" s="670"/>
      <c r="I26" s="671"/>
      <c r="J26" s="671"/>
      <c r="K26" s="671"/>
      <c r="L26" s="672"/>
      <c r="O26" s="347"/>
      <c r="P26" s="347"/>
      <c r="Q26" s="347"/>
      <c r="R26" s="347"/>
      <c r="T26" s="349"/>
    </row>
    <row r="27" spans="1:20" s="5" customFormat="1" ht="12.75" customHeight="1">
      <c r="A27" s="201">
        <f t="shared" si="1"/>
        <v>16</v>
      </c>
      <c r="B27" s="201" t="s">
        <v>609</v>
      </c>
      <c r="C27" s="295">
        <v>887.5183783614222</v>
      </c>
      <c r="D27" s="295">
        <v>132.2150648326053</v>
      </c>
      <c r="E27" s="295">
        <v>752.6001090241779</v>
      </c>
      <c r="F27" s="295">
        <v>838.38375</v>
      </c>
      <c r="G27" s="295">
        <f t="shared" si="0"/>
        <v>46.431423856783226</v>
      </c>
      <c r="H27" s="670"/>
      <c r="I27" s="671"/>
      <c r="J27" s="671"/>
      <c r="K27" s="671"/>
      <c r="L27" s="672"/>
      <c r="O27" s="347"/>
      <c r="P27" s="347"/>
      <c r="Q27" s="347"/>
      <c r="R27" s="347"/>
      <c r="T27" s="349"/>
    </row>
    <row r="28" spans="1:20" ht="12.75" customHeight="1">
      <c r="A28" s="201">
        <f t="shared" si="1"/>
        <v>17</v>
      </c>
      <c r="B28" s="201" t="s">
        <v>610</v>
      </c>
      <c r="C28" s="295">
        <v>688.6207972520449</v>
      </c>
      <c r="D28" s="295">
        <v>102.58496677201539</v>
      </c>
      <c r="E28" s="295">
        <v>583.9384284582749</v>
      </c>
      <c r="F28" s="295">
        <v>650.76</v>
      </c>
      <c r="G28" s="295">
        <f t="shared" si="0"/>
        <v>35.76339523029026</v>
      </c>
      <c r="H28" s="670"/>
      <c r="I28" s="671"/>
      <c r="J28" s="671"/>
      <c r="K28" s="671"/>
      <c r="L28" s="672"/>
      <c r="O28" s="347"/>
      <c r="P28" s="347"/>
      <c r="Q28" s="347"/>
      <c r="R28" s="347"/>
      <c r="T28" s="349"/>
    </row>
    <row r="29" spans="1:20" ht="12.75" customHeight="1">
      <c r="A29" s="201">
        <f t="shared" si="1"/>
        <v>18</v>
      </c>
      <c r="B29" s="201" t="s">
        <v>611</v>
      </c>
      <c r="C29" s="295">
        <v>1119.7858787731448</v>
      </c>
      <c r="D29" s="295">
        <v>166.81633436590778</v>
      </c>
      <c r="E29" s="295">
        <v>949.5588992808576</v>
      </c>
      <c r="F29" s="295">
        <v>1057.7925</v>
      </c>
      <c r="G29" s="295">
        <f t="shared" si="0"/>
        <v>58.58273364676552</v>
      </c>
      <c r="H29" s="670"/>
      <c r="I29" s="671"/>
      <c r="J29" s="671"/>
      <c r="K29" s="671"/>
      <c r="L29" s="672"/>
      <c r="O29" s="347"/>
      <c r="P29" s="347"/>
      <c r="Q29" s="347"/>
      <c r="R29" s="347"/>
      <c r="T29" s="349"/>
    </row>
    <row r="30" spans="1:20" ht="12.75" customHeight="1">
      <c r="A30" s="201">
        <f t="shared" si="1"/>
        <v>19</v>
      </c>
      <c r="B30" s="201" t="s">
        <v>637</v>
      </c>
      <c r="C30" s="295">
        <v>504.40740975429964</v>
      </c>
      <c r="D30" s="295">
        <v>75.1423970575549</v>
      </c>
      <c r="E30" s="295">
        <v>427.7286880239662</v>
      </c>
      <c r="F30" s="295">
        <v>476.48249999999996</v>
      </c>
      <c r="G30" s="295">
        <f t="shared" si="0"/>
        <v>26.388585081521114</v>
      </c>
      <c r="H30" s="670"/>
      <c r="I30" s="671"/>
      <c r="J30" s="671"/>
      <c r="K30" s="671"/>
      <c r="L30" s="672"/>
      <c r="O30" s="347"/>
      <c r="P30" s="347"/>
      <c r="Q30" s="347"/>
      <c r="R30" s="347"/>
      <c r="T30" s="349"/>
    </row>
    <row r="31" spans="1:20" ht="12.75" customHeight="1">
      <c r="A31" s="201">
        <f t="shared" si="1"/>
        <v>20</v>
      </c>
      <c r="B31" s="201" t="s">
        <v>612</v>
      </c>
      <c r="C31" s="295">
        <v>1100.88578529248</v>
      </c>
      <c r="D31" s="295">
        <v>164.00075651894318</v>
      </c>
      <c r="E31" s="295">
        <v>933.531949573769</v>
      </c>
      <c r="F31" s="295">
        <v>1043.4667499999998</v>
      </c>
      <c r="G31" s="295">
        <f t="shared" si="0"/>
        <v>54.06595609271244</v>
      </c>
      <c r="H31" s="670"/>
      <c r="I31" s="671"/>
      <c r="J31" s="671"/>
      <c r="K31" s="671"/>
      <c r="L31" s="672"/>
      <c r="O31" s="347"/>
      <c r="P31" s="347"/>
      <c r="Q31" s="347"/>
      <c r="R31" s="347"/>
      <c r="T31" s="349"/>
    </row>
    <row r="32" spans="1:20" ht="12.75" customHeight="1">
      <c r="A32" s="201">
        <f t="shared" si="1"/>
        <v>21</v>
      </c>
      <c r="B32" s="201" t="s">
        <v>613</v>
      </c>
      <c r="C32" s="295">
        <v>375.3580002039008</v>
      </c>
      <c r="D32" s="295">
        <v>55.917695387921235</v>
      </c>
      <c r="E32" s="295">
        <v>318.29703898426044</v>
      </c>
      <c r="F32" s="295">
        <v>354.5775</v>
      </c>
      <c r="G32" s="295">
        <f t="shared" si="0"/>
        <v>19.637234372181695</v>
      </c>
      <c r="H32" s="670"/>
      <c r="I32" s="671"/>
      <c r="J32" s="671"/>
      <c r="K32" s="671"/>
      <c r="L32" s="672"/>
      <c r="O32" s="347"/>
      <c r="P32" s="347"/>
      <c r="Q32" s="347"/>
      <c r="R32" s="347"/>
      <c r="T32" s="349"/>
    </row>
    <row r="33" spans="1:20" ht="12.75" customHeight="1">
      <c r="A33" s="201">
        <f t="shared" si="1"/>
        <v>22</v>
      </c>
      <c r="B33" s="201" t="s">
        <v>614</v>
      </c>
      <c r="C33" s="295">
        <v>345.0606858908504</v>
      </c>
      <c r="D33" s="295">
        <v>51.404254907342775</v>
      </c>
      <c r="E33" s="295">
        <v>292.6054447468101</v>
      </c>
      <c r="F33" s="295">
        <v>325.9575</v>
      </c>
      <c r="G33" s="295">
        <f t="shared" si="0"/>
        <v>18.0521996541529</v>
      </c>
      <c r="H33" s="670"/>
      <c r="I33" s="671"/>
      <c r="J33" s="671"/>
      <c r="K33" s="671"/>
      <c r="L33" s="672"/>
      <c r="O33" s="347"/>
      <c r="P33" s="347"/>
      <c r="Q33" s="347"/>
      <c r="R33" s="347"/>
      <c r="T33" s="349"/>
    </row>
    <row r="34" spans="1:20" ht="12.75" customHeight="1">
      <c r="A34" s="201">
        <f t="shared" si="1"/>
        <v>23</v>
      </c>
      <c r="B34" s="201" t="s">
        <v>615</v>
      </c>
      <c r="C34" s="295">
        <v>1606.329306031542</v>
      </c>
      <c r="D34" s="295">
        <v>239.29750472500842</v>
      </c>
      <c r="E34" s="295">
        <v>1362.1392416459498</v>
      </c>
      <c r="F34" s="295">
        <v>1517.3999999999999</v>
      </c>
      <c r="G34" s="295">
        <f t="shared" si="0"/>
        <v>84.03674637095833</v>
      </c>
      <c r="H34" s="670"/>
      <c r="I34" s="671"/>
      <c r="J34" s="671"/>
      <c r="K34" s="671"/>
      <c r="L34" s="672"/>
      <c r="O34" s="347"/>
      <c r="P34" s="347"/>
      <c r="Q34" s="347"/>
      <c r="R34" s="347"/>
      <c r="T34" s="349"/>
    </row>
    <row r="35" spans="1:20" ht="12.75" customHeight="1">
      <c r="A35" s="201">
        <f t="shared" si="1"/>
        <v>24</v>
      </c>
      <c r="B35" s="201" t="s">
        <v>616</v>
      </c>
      <c r="C35" s="295">
        <v>1180.7735150141555</v>
      </c>
      <c r="D35" s="295">
        <v>175.90176231443067</v>
      </c>
      <c r="E35" s="295">
        <v>1001.2753513602535</v>
      </c>
      <c r="F35" s="295">
        <v>1115.40375</v>
      </c>
      <c r="G35" s="295">
        <f t="shared" si="0"/>
        <v>61.773363674684106</v>
      </c>
      <c r="H35" s="670"/>
      <c r="I35" s="671"/>
      <c r="J35" s="671"/>
      <c r="K35" s="671"/>
      <c r="L35" s="672"/>
      <c r="O35" s="347"/>
      <c r="P35" s="347"/>
      <c r="Q35" s="347"/>
      <c r="R35" s="347"/>
      <c r="T35" s="349"/>
    </row>
    <row r="36" spans="1:20" ht="12.75" customHeight="1">
      <c r="A36" s="201">
        <f t="shared" si="1"/>
        <v>25</v>
      </c>
      <c r="B36" s="201" t="s">
        <v>617</v>
      </c>
      <c r="C36" s="295">
        <v>896.4503696093733</v>
      </c>
      <c r="D36" s="295">
        <v>133.54567818183244</v>
      </c>
      <c r="E36" s="295">
        <v>760.174281853615</v>
      </c>
      <c r="F36" s="295">
        <v>846.82125</v>
      </c>
      <c r="G36" s="295">
        <f t="shared" si="0"/>
        <v>46.89871003544749</v>
      </c>
      <c r="H36" s="670"/>
      <c r="I36" s="671"/>
      <c r="J36" s="671"/>
      <c r="K36" s="671"/>
      <c r="L36" s="672"/>
      <c r="O36" s="347"/>
      <c r="P36" s="347"/>
      <c r="Q36" s="347"/>
      <c r="R36" s="347"/>
      <c r="T36" s="349"/>
    </row>
    <row r="37" spans="1:20" ht="12.75" customHeight="1">
      <c r="A37" s="201">
        <f t="shared" si="1"/>
        <v>26</v>
      </c>
      <c r="B37" s="201" t="s">
        <v>618</v>
      </c>
      <c r="C37" s="295">
        <v>673.0076765506262</v>
      </c>
      <c r="D37" s="295">
        <v>100.25905463756635</v>
      </c>
      <c r="E37" s="295">
        <v>570.6987743524189</v>
      </c>
      <c r="F37" s="295">
        <v>635.74875</v>
      </c>
      <c r="G37" s="295">
        <f t="shared" si="0"/>
        <v>35.2090789899853</v>
      </c>
      <c r="H37" s="670"/>
      <c r="I37" s="671"/>
      <c r="J37" s="671"/>
      <c r="K37" s="671"/>
      <c r="L37" s="672"/>
      <c r="O37" s="347"/>
      <c r="P37" s="347"/>
      <c r="Q37" s="347"/>
      <c r="R37" s="347"/>
      <c r="T37" s="349"/>
    </row>
    <row r="38" spans="1:20" ht="12.75" customHeight="1">
      <c r="A38" s="201">
        <f t="shared" si="1"/>
        <v>27</v>
      </c>
      <c r="B38" s="201" t="s">
        <v>619</v>
      </c>
      <c r="C38" s="295">
        <v>998.989629135853</v>
      </c>
      <c r="D38" s="295">
        <v>148.82111943095995</v>
      </c>
      <c r="E38" s="295">
        <v>847.1257859355517</v>
      </c>
      <c r="F38" s="295">
        <v>943.6837499999999</v>
      </c>
      <c r="G38" s="295">
        <f t="shared" si="0"/>
        <v>52.26315536651168</v>
      </c>
      <c r="H38" s="670"/>
      <c r="I38" s="671"/>
      <c r="J38" s="671"/>
      <c r="K38" s="671"/>
      <c r="L38" s="672"/>
      <c r="O38" s="347"/>
      <c r="P38" s="347"/>
      <c r="Q38" s="347"/>
      <c r="R38" s="347"/>
      <c r="T38" s="349"/>
    </row>
    <row r="39" spans="1:20" ht="12.75" customHeight="1">
      <c r="A39" s="201">
        <f t="shared" si="1"/>
        <v>28</v>
      </c>
      <c r="B39" s="143" t="s">
        <v>620</v>
      </c>
      <c r="C39" s="295">
        <v>462.71287460886344</v>
      </c>
      <c r="D39" s="295">
        <v>68.93109394336263</v>
      </c>
      <c r="E39" s="295">
        <v>392.3724492561543</v>
      </c>
      <c r="F39" s="295">
        <v>437.09624999999994</v>
      </c>
      <c r="G39" s="295">
        <f t="shared" si="0"/>
        <v>24.207293199516982</v>
      </c>
      <c r="H39" s="670"/>
      <c r="I39" s="671"/>
      <c r="J39" s="671"/>
      <c r="K39" s="671"/>
      <c r="L39" s="672"/>
      <c r="O39" s="347"/>
      <c r="P39" s="347"/>
      <c r="Q39" s="347"/>
      <c r="R39" s="347"/>
      <c r="T39" s="349"/>
    </row>
    <row r="40" spans="1:20" ht="12.75" customHeight="1">
      <c r="A40" s="201">
        <f t="shared" si="1"/>
        <v>29</v>
      </c>
      <c r="B40" s="143" t="s">
        <v>621</v>
      </c>
      <c r="C40" s="295">
        <v>359.2804159575887</v>
      </c>
      <c r="D40" s="295">
        <v>53.522591359312386</v>
      </c>
      <c r="E40" s="295">
        <v>304.6635278912738</v>
      </c>
      <c r="F40" s="295">
        <v>339.39</v>
      </c>
      <c r="G40" s="295">
        <f t="shared" si="0"/>
        <v>18.79611925058623</v>
      </c>
      <c r="H40" s="670"/>
      <c r="I40" s="671"/>
      <c r="J40" s="671"/>
      <c r="K40" s="671"/>
      <c r="L40" s="672"/>
      <c r="O40" s="347"/>
      <c r="P40" s="347"/>
      <c r="Q40" s="347"/>
      <c r="R40" s="347"/>
      <c r="T40" s="349"/>
    </row>
    <row r="41" spans="1:20" ht="12.75" customHeight="1">
      <c r="A41" s="201">
        <f t="shared" si="1"/>
        <v>30</v>
      </c>
      <c r="B41" s="143" t="s">
        <v>622</v>
      </c>
      <c r="C41" s="295">
        <v>475.78930979586397</v>
      </c>
      <c r="D41" s="295">
        <v>70.87911188663116</v>
      </c>
      <c r="E41" s="295">
        <v>403.4610382784501</v>
      </c>
      <c r="F41" s="295">
        <v>449.44874999999996</v>
      </c>
      <c r="G41" s="295">
        <f t="shared" si="0"/>
        <v>24.89140016508128</v>
      </c>
      <c r="H41" s="670"/>
      <c r="I41" s="671"/>
      <c r="J41" s="671"/>
      <c r="K41" s="671"/>
      <c r="L41" s="672"/>
      <c r="O41" s="347"/>
      <c r="P41" s="347"/>
      <c r="Q41" s="347"/>
      <c r="R41" s="347"/>
      <c r="T41" s="349"/>
    </row>
    <row r="42" spans="1:20" ht="12.75" customHeight="1">
      <c r="A42" s="201">
        <f t="shared" si="1"/>
        <v>31</v>
      </c>
      <c r="B42" s="143" t="s">
        <v>623</v>
      </c>
      <c r="C42" s="295">
        <v>526.6302039792021</v>
      </c>
      <c r="D42" s="295">
        <v>78.45296307043203</v>
      </c>
      <c r="E42" s="295">
        <v>446.5732300236055</v>
      </c>
      <c r="F42" s="295">
        <v>497.47499999999997</v>
      </c>
      <c r="G42" s="295">
        <f t="shared" si="0"/>
        <v>27.551193094037615</v>
      </c>
      <c r="H42" s="670"/>
      <c r="I42" s="671"/>
      <c r="J42" s="671"/>
      <c r="K42" s="671"/>
      <c r="L42" s="672"/>
      <c r="O42" s="347"/>
      <c r="P42" s="347"/>
      <c r="Q42" s="347"/>
      <c r="R42" s="347"/>
      <c r="T42" s="349"/>
    </row>
    <row r="43" spans="1:15" s="5" customFormat="1" ht="12.75">
      <c r="A43" s="150"/>
      <c r="B43" s="150" t="s">
        <v>624</v>
      </c>
      <c r="C43" s="297">
        <f>SUM(C12:C42)</f>
        <v>22778.900000000005</v>
      </c>
      <c r="D43" s="297">
        <f>SUM(D12:D42)</f>
        <v>3393.4099999999994</v>
      </c>
      <c r="E43" s="297">
        <f>SUM(E12:E42)</f>
        <v>19316.11</v>
      </c>
      <c r="F43" s="297">
        <f>SUM(F12:F42)</f>
        <v>21541.065749999994</v>
      </c>
      <c r="G43" s="297">
        <f>SUM(G12:G42)</f>
        <v>1168.454250000002</v>
      </c>
      <c r="H43" s="673"/>
      <c r="I43" s="674"/>
      <c r="J43" s="674"/>
      <c r="K43" s="674"/>
      <c r="L43" s="675"/>
      <c r="O43" s="337"/>
    </row>
    <row r="44" spans="1:12" ht="12.75">
      <c r="A44" s="9" t="s">
        <v>579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>
      <c r="A45" s="5"/>
      <c r="B45" s="5"/>
      <c r="C45" s="5"/>
      <c r="D45" s="323"/>
      <c r="E45" s="5"/>
      <c r="F45" s="5"/>
      <c r="G45" s="5"/>
      <c r="H45" s="5"/>
      <c r="I45" s="5"/>
      <c r="J45" s="5"/>
      <c r="K45" s="5"/>
      <c r="L45" s="5"/>
    </row>
    <row r="46" spans="1:12" ht="15.75" customHeight="1">
      <c r="A46" s="5"/>
      <c r="B46" s="5"/>
      <c r="C46" s="5"/>
      <c r="D46" s="5"/>
      <c r="E46" s="337"/>
      <c r="F46" s="5"/>
      <c r="G46" s="5"/>
      <c r="H46" s="5"/>
      <c r="I46" s="5"/>
      <c r="J46" s="5"/>
      <c r="K46" s="5"/>
      <c r="L46" s="5"/>
    </row>
    <row r="47" ht="12.75">
      <c r="A47" s="5"/>
    </row>
    <row r="48" spans="9:12" ht="15.75">
      <c r="I48" s="621" t="s">
        <v>860</v>
      </c>
      <c r="J48" s="621"/>
      <c r="K48" s="621"/>
      <c r="L48" s="621"/>
    </row>
    <row r="49" spans="9:12" ht="15.75">
      <c r="I49" s="621" t="s">
        <v>653</v>
      </c>
      <c r="J49" s="621"/>
      <c r="K49" s="621"/>
      <c r="L49" s="621"/>
    </row>
  </sheetData>
  <sheetProtection/>
  <mergeCells count="14">
    <mergeCell ref="I48:L48"/>
    <mergeCell ref="I49:L49"/>
    <mergeCell ref="H12:L43"/>
    <mergeCell ref="I8:L8"/>
    <mergeCell ref="A9:A10"/>
    <mergeCell ref="B9:B10"/>
    <mergeCell ref="C9:G9"/>
    <mergeCell ref="H9:L9"/>
    <mergeCell ref="F7:L7"/>
    <mergeCell ref="A7:B7"/>
    <mergeCell ref="L1:N1"/>
    <mergeCell ref="A2:L2"/>
    <mergeCell ref="A3:L3"/>
    <mergeCell ref="A5:L5"/>
  </mergeCells>
  <printOptions horizontalCentered="1"/>
  <pageMargins left="0.48" right="0.45" top="0.39" bottom="0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sheetData>
    <row r="2" ht="12.75">
      <c r="B2" s="5"/>
    </row>
    <row r="4" spans="2:8" ht="12.75" customHeight="1">
      <c r="B4" s="526"/>
      <c r="C4" s="526"/>
      <c r="D4" s="526"/>
      <c r="E4" s="526"/>
      <c r="F4" s="526"/>
      <c r="G4" s="526"/>
      <c r="H4" s="526"/>
    </row>
    <row r="5" spans="2:8" ht="12.75" customHeight="1">
      <c r="B5" s="526"/>
      <c r="C5" s="526"/>
      <c r="D5" s="526"/>
      <c r="E5" s="526"/>
      <c r="F5" s="526"/>
      <c r="G5" s="526"/>
      <c r="H5" s="526"/>
    </row>
    <row r="6" spans="2:8" ht="12.75" customHeight="1">
      <c r="B6" s="526"/>
      <c r="C6" s="526"/>
      <c r="D6" s="526"/>
      <c r="E6" s="526"/>
      <c r="F6" s="526"/>
      <c r="G6" s="526"/>
      <c r="H6" s="526"/>
    </row>
    <row r="7" spans="2:8" ht="12.75" customHeight="1">
      <c r="B7" s="526"/>
      <c r="C7" s="526"/>
      <c r="D7" s="526"/>
      <c r="E7" s="526"/>
      <c r="F7" s="526"/>
      <c r="G7" s="526"/>
      <c r="H7" s="526"/>
    </row>
    <row r="8" spans="2:8" ht="12.75" customHeight="1">
      <c r="B8" s="526"/>
      <c r="C8" s="526"/>
      <c r="D8" s="526"/>
      <c r="E8" s="526"/>
      <c r="F8" s="526"/>
      <c r="G8" s="526"/>
      <c r="H8" s="526"/>
    </row>
    <row r="9" spans="2:8" ht="12.75" customHeight="1">
      <c r="B9" s="526"/>
      <c r="C9" s="526"/>
      <c r="D9" s="526"/>
      <c r="E9" s="526"/>
      <c r="F9" s="526"/>
      <c r="G9" s="526"/>
      <c r="H9" s="526"/>
    </row>
    <row r="10" spans="2:8" ht="12.75" customHeight="1">
      <c r="B10" s="526"/>
      <c r="C10" s="526"/>
      <c r="D10" s="526"/>
      <c r="E10" s="526"/>
      <c r="F10" s="526"/>
      <c r="G10" s="526"/>
      <c r="H10" s="526"/>
    </row>
    <row r="11" spans="2:8" ht="12.75" customHeight="1">
      <c r="B11" s="526"/>
      <c r="C11" s="526"/>
      <c r="D11" s="526"/>
      <c r="E11" s="526"/>
      <c r="F11" s="526"/>
      <c r="G11" s="526"/>
      <c r="H11" s="526"/>
    </row>
    <row r="12" spans="2:8" ht="12.75" customHeight="1">
      <c r="B12" s="526"/>
      <c r="C12" s="526"/>
      <c r="D12" s="526"/>
      <c r="E12" s="526"/>
      <c r="F12" s="526"/>
      <c r="G12" s="526"/>
      <c r="H12" s="526"/>
    </row>
    <row r="13" spans="2:8" ht="12.75" customHeight="1">
      <c r="B13" s="526"/>
      <c r="C13" s="526"/>
      <c r="D13" s="526"/>
      <c r="E13" s="526"/>
      <c r="F13" s="526"/>
      <c r="G13" s="526"/>
      <c r="H13" s="526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9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5.7109375" style="65" customWidth="1"/>
    <col min="2" max="2" width="19.7109375" style="65" customWidth="1"/>
    <col min="3" max="3" width="13.00390625" style="65" customWidth="1"/>
    <col min="4" max="4" width="12.00390625" style="65" customWidth="1"/>
    <col min="5" max="5" width="12.421875" style="65" customWidth="1"/>
    <col min="6" max="6" width="12.7109375" style="65" customWidth="1"/>
    <col min="7" max="7" width="13.140625" style="65" customWidth="1"/>
    <col min="8" max="8" width="12.7109375" style="65" customWidth="1"/>
    <col min="9" max="9" width="12.140625" style="65" customWidth="1"/>
    <col min="10" max="10" width="12.140625" style="126" customWidth="1"/>
    <col min="11" max="11" width="16.57421875" style="65" customWidth="1"/>
    <col min="12" max="12" width="13.140625" style="65" customWidth="1"/>
    <col min="13" max="13" width="12.7109375" style="65" customWidth="1"/>
    <col min="14" max="14" width="9.140625" style="65" customWidth="1"/>
    <col min="15" max="15" width="12.57421875" style="65" bestFit="1" customWidth="1"/>
    <col min="16" max="16384" width="9.140625" style="65" customWidth="1"/>
  </cols>
  <sheetData>
    <row r="1" spans="11:13" ht="12.75">
      <c r="K1" s="679" t="s">
        <v>205</v>
      </c>
      <c r="L1" s="679"/>
      <c r="M1" s="679"/>
    </row>
    <row r="2" ht="12.75" customHeight="1"/>
    <row r="3" spans="1:13" ht="15.75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3" ht="20.25">
      <c r="A4" s="686" t="s">
        <v>695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</row>
    <row r="5" ht="10.5" customHeight="1"/>
    <row r="6" spans="1:13" ht="15.75">
      <c r="A6" s="685" t="s">
        <v>717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</row>
    <row r="7" spans="2:13" ht="15.75">
      <c r="B7" s="177"/>
      <c r="C7" s="177"/>
      <c r="D7" s="177"/>
      <c r="E7" s="177"/>
      <c r="F7" s="177"/>
      <c r="G7" s="177"/>
      <c r="H7" s="177"/>
      <c r="L7" s="684" t="s">
        <v>185</v>
      </c>
      <c r="M7" s="684"/>
    </row>
    <row r="8" spans="1:13" ht="15.75">
      <c r="A8" s="106" t="s">
        <v>667</v>
      </c>
      <c r="C8" s="177"/>
      <c r="D8" s="177"/>
      <c r="E8" s="177"/>
      <c r="F8" s="177"/>
      <c r="G8" s="640" t="s">
        <v>750</v>
      </c>
      <c r="H8" s="640"/>
      <c r="I8" s="640"/>
      <c r="J8" s="640"/>
      <c r="K8" s="640"/>
      <c r="L8" s="640"/>
      <c r="M8" s="640"/>
    </row>
    <row r="9" spans="1:13" ht="12.75">
      <c r="A9" s="688" t="s">
        <v>20</v>
      </c>
      <c r="B9" s="691" t="s">
        <v>3</v>
      </c>
      <c r="C9" s="680" t="s">
        <v>718</v>
      </c>
      <c r="D9" s="680" t="s">
        <v>785</v>
      </c>
      <c r="E9" s="680" t="s">
        <v>219</v>
      </c>
      <c r="F9" s="680" t="s">
        <v>218</v>
      </c>
      <c r="G9" s="680"/>
      <c r="H9" s="680" t="s">
        <v>182</v>
      </c>
      <c r="I9" s="680"/>
      <c r="J9" s="681" t="s">
        <v>425</v>
      </c>
      <c r="K9" s="680" t="s">
        <v>184</v>
      </c>
      <c r="L9" s="680" t="s">
        <v>401</v>
      </c>
      <c r="M9" s="680" t="s">
        <v>233</v>
      </c>
    </row>
    <row r="10" spans="1:13" ht="12.75">
      <c r="A10" s="689"/>
      <c r="B10" s="691"/>
      <c r="C10" s="680"/>
      <c r="D10" s="680"/>
      <c r="E10" s="680"/>
      <c r="F10" s="680"/>
      <c r="G10" s="680"/>
      <c r="H10" s="680"/>
      <c r="I10" s="680"/>
      <c r="J10" s="682"/>
      <c r="K10" s="680"/>
      <c r="L10" s="680"/>
      <c r="M10" s="680"/>
    </row>
    <row r="11" spans="1:13" ht="27" customHeight="1">
      <c r="A11" s="690"/>
      <c r="B11" s="691"/>
      <c r="C11" s="680"/>
      <c r="D11" s="680"/>
      <c r="E11" s="680"/>
      <c r="F11" s="173" t="s">
        <v>183</v>
      </c>
      <c r="G11" s="173" t="s">
        <v>234</v>
      </c>
      <c r="H11" s="173" t="s">
        <v>183</v>
      </c>
      <c r="I11" s="173" t="s">
        <v>234</v>
      </c>
      <c r="J11" s="683"/>
      <c r="K11" s="680"/>
      <c r="L11" s="680"/>
      <c r="M11" s="680"/>
    </row>
    <row r="12" spans="1:13" ht="12.7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127">
        <v>10</v>
      </c>
      <c r="K12" s="68">
        <v>11</v>
      </c>
      <c r="L12" s="78">
        <v>12</v>
      </c>
      <c r="M12" s="78">
        <v>13</v>
      </c>
    </row>
    <row r="13" spans="1:21" ht="12.75">
      <c r="A13" s="201">
        <v>1</v>
      </c>
      <c r="B13" s="201" t="s">
        <v>633</v>
      </c>
      <c r="C13" s="298">
        <v>43.6925158563361</v>
      </c>
      <c r="D13" s="298">
        <v>0.24526648216297983</v>
      </c>
      <c r="E13" s="298">
        <v>38.16124891731804</v>
      </c>
      <c r="F13" s="298">
        <f>'T6_FG_py_Utlsn'!E12+'T6A_FG_Upy_Utlsn '!E12</f>
        <v>1229.8911408305205</v>
      </c>
      <c r="G13" s="298">
        <f>F13*3000/100000</f>
        <v>36.89673422491562</v>
      </c>
      <c r="H13" s="298">
        <v>1229.8911408305205</v>
      </c>
      <c r="I13" s="298">
        <f>H13*3000/100000</f>
        <v>36.89673422491562</v>
      </c>
      <c r="J13" s="299">
        <f>G13-I13</f>
        <v>0</v>
      </c>
      <c r="K13" s="298">
        <f>D13+E13-I13</f>
        <v>1.5097811745654042</v>
      </c>
      <c r="L13" s="298">
        <v>0</v>
      </c>
      <c r="M13" s="298">
        <v>0</v>
      </c>
      <c r="O13" s="382"/>
      <c r="P13" s="414"/>
      <c r="Q13" s="382"/>
      <c r="R13" s="382"/>
      <c r="S13" s="382"/>
      <c r="T13" s="382"/>
      <c r="U13" s="382"/>
    </row>
    <row r="14" spans="1:21" ht="12.75">
      <c r="A14" s="201">
        <f>A13+1</f>
        <v>2</v>
      </c>
      <c r="B14" s="201" t="s">
        <v>598</v>
      </c>
      <c r="C14" s="298">
        <v>47.03577786037968</v>
      </c>
      <c r="D14" s="298">
        <v>0.05403377204340473</v>
      </c>
      <c r="E14" s="298">
        <v>41.08126968132302</v>
      </c>
      <c r="F14" s="298">
        <f>'T6_FG_py_Utlsn'!E13+'T6A_FG_Upy_Utlsn '!E13</f>
        <v>1332.8269226435796</v>
      </c>
      <c r="G14" s="298">
        <f aca="true" t="shared" si="0" ref="G14:G43">F14*3000/100000</f>
        <v>39.98480767930739</v>
      </c>
      <c r="H14" s="298">
        <v>1332.8269226435796</v>
      </c>
      <c r="I14" s="298">
        <f aca="true" t="shared" si="1" ref="I14:I43">H14*3000/100000</f>
        <v>39.98480767930739</v>
      </c>
      <c r="J14" s="299">
        <f aca="true" t="shared" si="2" ref="J14:J43">G14-I14</f>
        <v>0</v>
      </c>
      <c r="K14" s="298">
        <f aca="true" t="shared" si="3" ref="K14:K43">D14+E14-I14</f>
        <v>1.1504957740590385</v>
      </c>
      <c r="L14" s="298">
        <v>0</v>
      </c>
      <c r="M14" s="298">
        <v>0</v>
      </c>
      <c r="O14" s="382"/>
      <c r="P14" s="414"/>
      <c r="Q14" s="382"/>
      <c r="R14" s="382"/>
      <c r="S14" s="382"/>
      <c r="T14" s="382"/>
      <c r="U14" s="382"/>
    </row>
    <row r="15" spans="1:21" ht="12.75">
      <c r="A15" s="201">
        <f aca="true" t="shared" si="4" ref="A15:A43">A14+1</f>
        <v>3</v>
      </c>
      <c r="B15" s="201" t="s">
        <v>634</v>
      </c>
      <c r="C15" s="298">
        <v>93.11276487171943</v>
      </c>
      <c r="D15" s="298">
        <v>0.12268540359741076</v>
      </c>
      <c r="E15" s="298">
        <v>81.325126924091</v>
      </c>
      <c r="F15" s="298">
        <f>'T6_FG_py_Utlsn'!E14+'T6A_FG_Upy_Utlsn '!E14</f>
        <v>2676.615897661245</v>
      </c>
      <c r="G15" s="298">
        <f t="shared" si="0"/>
        <v>80.29847692983735</v>
      </c>
      <c r="H15" s="298">
        <v>1981.6258976612453</v>
      </c>
      <c r="I15" s="298">
        <f t="shared" si="1"/>
        <v>59.448776929837365</v>
      </c>
      <c r="J15" s="299">
        <f t="shared" si="2"/>
        <v>20.849699999999984</v>
      </c>
      <c r="K15" s="298">
        <f t="shared" si="3"/>
        <v>21.999035397851046</v>
      </c>
      <c r="L15" s="298">
        <v>0</v>
      </c>
      <c r="M15" s="298">
        <v>0</v>
      </c>
      <c r="O15" s="382"/>
      <c r="P15" s="414"/>
      <c r="Q15" s="382"/>
      <c r="R15" s="382"/>
      <c r="S15" s="382"/>
      <c r="T15" s="382"/>
      <c r="U15" s="382"/>
    </row>
    <row r="16" spans="1:21" ht="12.75">
      <c r="A16" s="201">
        <f t="shared" si="4"/>
        <v>4</v>
      </c>
      <c r="B16" s="201" t="s">
        <v>599</v>
      </c>
      <c r="C16" s="298">
        <v>36.55244209009441</v>
      </c>
      <c r="D16" s="298">
        <v>0.6051859159445362</v>
      </c>
      <c r="E16" s="298">
        <v>31.925074896635067</v>
      </c>
      <c r="F16" s="298">
        <f>'T6_FG_py_Utlsn'!E15+'T6A_FG_Upy_Utlsn '!E15</f>
        <v>1083.3146818563714</v>
      </c>
      <c r="G16" s="298">
        <f t="shared" si="0"/>
        <v>32.49944045569114</v>
      </c>
      <c r="H16" s="298">
        <v>1083.3146818563714</v>
      </c>
      <c r="I16" s="298">
        <f t="shared" si="1"/>
        <v>32.49944045569114</v>
      </c>
      <c r="J16" s="299">
        <f t="shared" si="2"/>
        <v>0</v>
      </c>
      <c r="K16" s="298">
        <f t="shared" si="3"/>
        <v>0.030820356888462186</v>
      </c>
      <c r="L16" s="298">
        <v>0</v>
      </c>
      <c r="M16" s="298">
        <v>0</v>
      </c>
      <c r="O16" s="382"/>
      <c r="P16" s="414"/>
      <c r="Q16" s="382"/>
      <c r="R16" s="382"/>
      <c r="S16" s="382"/>
      <c r="T16" s="382"/>
      <c r="U16" s="382"/>
    </row>
    <row r="17" spans="1:21" ht="12.75">
      <c r="A17" s="201">
        <f t="shared" si="4"/>
        <v>5</v>
      </c>
      <c r="B17" s="201" t="s">
        <v>600</v>
      </c>
      <c r="C17" s="298">
        <v>22.97596366768901</v>
      </c>
      <c r="D17" s="298">
        <v>0.36897480661465093</v>
      </c>
      <c r="E17" s="298">
        <v>20.067314766695613</v>
      </c>
      <c r="F17" s="298">
        <f>'T6_FG_py_Utlsn'!E16+'T6A_FG_Upy_Utlsn '!E16</f>
        <v>680.5423114661961</v>
      </c>
      <c r="G17" s="298">
        <f t="shared" si="0"/>
        <v>20.41626934398588</v>
      </c>
      <c r="H17" s="298">
        <v>680.5423114661961</v>
      </c>
      <c r="I17" s="298">
        <f t="shared" si="1"/>
        <v>20.41626934398588</v>
      </c>
      <c r="J17" s="299">
        <f t="shared" si="2"/>
        <v>0</v>
      </c>
      <c r="K17" s="298">
        <f t="shared" si="3"/>
        <v>0.020020229324384076</v>
      </c>
      <c r="L17" s="298">
        <v>0</v>
      </c>
      <c r="M17" s="298">
        <v>0</v>
      </c>
      <c r="O17" s="382"/>
      <c r="P17" s="414"/>
      <c r="Q17" s="382"/>
      <c r="R17" s="382"/>
      <c r="S17" s="382"/>
      <c r="T17" s="382"/>
      <c r="U17" s="382"/>
    </row>
    <row r="18" spans="1:21" ht="12.75">
      <c r="A18" s="201">
        <f t="shared" si="4"/>
        <v>6</v>
      </c>
      <c r="B18" s="201" t="s">
        <v>601</v>
      </c>
      <c r="C18" s="298">
        <v>27.340546358753382</v>
      </c>
      <c r="D18" s="298">
        <v>0.15347524614682664</v>
      </c>
      <c r="E18" s="298">
        <v>23.87936182394402</v>
      </c>
      <c r="F18" s="298">
        <f>'T6_FG_py_Utlsn'!E17+'T6A_FG_Upy_Utlsn '!E17</f>
        <v>780.1198876882271</v>
      </c>
      <c r="G18" s="298">
        <f t="shared" si="0"/>
        <v>23.403596630646813</v>
      </c>
      <c r="H18" s="298">
        <v>780.1198876882271</v>
      </c>
      <c r="I18" s="298">
        <f t="shared" si="1"/>
        <v>23.403596630646813</v>
      </c>
      <c r="J18" s="299">
        <f t="shared" si="2"/>
        <v>0</v>
      </c>
      <c r="K18" s="298">
        <f t="shared" si="3"/>
        <v>0.6292404394440325</v>
      </c>
      <c r="L18" s="298">
        <v>0</v>
      </c>
      <c r="M18" s="298">
        <v>0</v>
      </c>
      <c r="O18" s="382"/>
      <c r="P18" s="414"/>
      <c r="Q18" s="382"/>
      <c r="R18" s="382"/>
      <c r="S18" s="382"/>
      <c r="T18" s="382"/>
      <c r="U18" s="382"/>
    </row>
    <row r="19" spans="1:21" ht="12.75">
      <c r="A19" s="201">
        <f t="shared" si="4"/>
        <v>7</v>
      </c>
      <c r="B19" s="201" t="s">
        <v>602</v>
      </c>
      <c r="C19" s="298">
        <v>41.801613555794745</v>
      </c>
      <c r="D19" s="298">
        <v>0.0346519650934527</v>
      </c>
      <c r="E19" s="298">
        <v>36.50972595154165</v>
      </c>
      <c r="F19" s="298">
        <f>'T6_FG_py_Utlsn'!E18+'T6A_FG_Upy_Utlsn '!E18</f>
        <v>1199.32338322402</v>
      </c>
      <c r="G19" s="298">
        <f t="shared" si="0"/>
        <v>35.9797014967206</v>
      </c>
      <c r="H19" s="298">
        <v>1199.32338322402</v>
      </c>
      <c r="I19" s="298">
        <f t="shared" si="1"/>
        <v>35.9797014967206</v>
      </c>
      <c r="J19" s="299">
        <f t="shared" si="2"/>
        <v>0</v>
      </c>
      <c r="K19" s="298">
        <f t="shared" si="3"/>
        <v>0.5646764199144982</v>
      </c>
      <c r="L19" s="298">
        <v>0</v>
      </c>
      <c r="M19" s="298">
        <v>0</v>
      </c>
      <c r="O19" s="382"/>
      <c r="P19" s="414"/>
      <c r="Q19" s="382"/>
      <c r="R19" s="382"/>
      <c r="S19" s="382"/>
      <c r="T19" s="382"/>
      <c r="U19" s="382"/>
    </row>
    <row r="20" spans="1:21" ht="12.75">
      <c r="A20" s="201">
        <f t="shared" si="4"/>
        <v>8</v>
      </c>
      <c r="B20" s="201" t="s">
        <v>603</v>
      </c>
      <c r="C20" s="298">
        <v>53.64809979406288</v>
      </c>
      <c r="D20" s="298">
        <v>0.3011518209315968</v>
      </c>
      <c r="E20" s="298">
        <v>46.85650276843612</v>
      </c>
      <c r="F20" s="298">
        <f>'T6_FG_py_Utlsn'!E19+'T6A_FG_Upy_Utlsn '!E19</f>
        <v>1548.6040324051369</v>
      </c>
      <c r="G20" s="298">
        <f t="shared" si="0"/>
        <v>46.458120972154106</v>
      </c>
      <c r="H20" s="298">
        <v>1548.6040324051369</v>
      </c>
      <c r="I20" s="298">
        <f t="shared" si="1"/>
        <v>46.458120972154106</v>
      </c>
      <c r="J20" s="299">
        <f t="shared" si="2"/>
        <v>0</v>
      </c>
      <c r="K20" s="298">
        <f t="shared" si="3"/>
        <v>0.6995336172136106</v>
      </c>
      <c r="L20" s="298">
        <v>0</v>
      </c>
      <c r="M20" s="298">
        <v>0</v>
      </c>
      <c r="O20" s="382"/>
      <c r="P20" s="414"/>
      <c r="Q20" s="382"/>
      <c r="R20" s="382"/>
      <c r="S20" s="382"/>
      <c r="T20" s="382"/>
      <c r="U20" s="382"/>
    </row>
    <row r="21" spans="1:21" ht="12.75">
      <c r="A21" s="201">
        <f t="shared" si="4"/>
        <v>9</v>
      </c>
      <c r="B21" s="201" t="s">
        <v>604</v>
      </c>
      <c r="C21" s="298">
        <v>26.868654514791125</v>
      </c>
      <c r="D21" s="298">
        <v>0.6208262970016095</v>
      </c>
      <c r="E21" s="298">
        <v>23.4672092672291</v>
      </c>
      <c r="F21" s="298">
        <f>'T6_FG_py_Utlsn'!E20+'T6A_FG_Upy_Utlsn '!E20</f>
        <v>802.445150533605</v>
      </c>
      <c r="G21" s="298">
        <f t="shared" si="0"/>
        <v>24.073354516008152</v>
      </c>
      <c r="H21" s="298">
        <v>802.445150533605</v>
      </c>
      <c r="I21" s="298">
        <f t="shared" si="1"/>
        <v>24.073354516008152</v>
      </c>
      <c r="J21" s="299">
        <f t="shared" si="2"/>
        <v>0</v>
      </c>
      <c r="K21" s="298">
        <f t="shared" si="3"/>
        <v>0.014681048222559667</v>
      </c>
      <c r="L21" s="298">
        <v>0</v>
      </c>
      <c r="M21" s="298">
        <v>0</v>
      </c>
      <c r="O21" s="382"/>
      <c r="P21" s="414"/>
      <c r="Q21" s="382"/>
      <c r="R21" s="382"/>
      <c r="S21" s="382"/>
      <c r="T21" s="382"/>
      <c r="U21" s="382"/>
    </row>
    <row r="22" spans="1:21" ht="12.75">
      <c r="A22" s="201">
        <f t="shared" si="4"/>
        <v>10</v>
      </c>
      <c r="B22" s="201" t="s">
        <v>605</v>
      </c>
      <c r="C22" s="298">
        <v>56.25601090345149</v>
      </c>
      <c r="D22" s="298">
        <v>0.025791243062761204</v>
      </c>
      <c r="E22" s="298">
        <v>49.13426460130585</v>
      </c>
      <c r="F22" s="298">
        <f>'T6_FG_py_Utlsn'!E21+'T6A_FG_Upy_Utlsn '!E21</f>
        <v>1633.3486843707055</v>
      </c>
      <c r="G22" s="298">
        <f t="shared" si="0"/>
        <v>49.00046053112116</v>
      </c>
      <c r="H22" s="298">
        <v>1633.3486843707055</v>
      </c>
      <c r="I22" s="298">
        <f t="shared" si="1"/>
        <v>49.00046053112116</v>
      </c>
      <c r="J22" s="299">
        <f t="shared" si="2"/>
        <v>0</v>
      </c>
      <c r="K22" s="298">
        <f t="shared" si="3"/>
        <v>0.15959531324745058</v>
      </c>
      <c r="L22" s="298">
        <v>0</v>
      </c>
      <c r="M22" s="298">
        <v>0</v>
      </c>
      <c r="O22" s="382"/>
      <c r="P22" s="414"/>
      <c r="Q22" s="382"/>
      <c r="R22" s="382"/>
      <c r="S22" s="382"/>
      <c r="T22" s="382"/>
      <c r="U22" s="382"/>
    </row>
    <row r="23" spans="1:21" ht="12.75">
      <c r="A23" s="201">
        <f t="shared" si="4"/>
        <v>11</v>
      </c>
      <c r="B23" s="201" t="s">
        <v>635</v>
      </c>
      <c r="C23" s="298">
        <v>32.34876951543413</v>
      </c>
      <c r="D23" s="298">
        <v>0.0315887399901465</v>
      </c>
      <c r="E23" s="298">
        <v>28.253567492118076</v>
      </c>
      <c r="F23" s="298">
        <f>'T6_FG_py_Utlsn'!E22+'T6A_FG_Upy_Utlsn '!E22</f>
        <v>899.8584712201092</v>
      </c>
      <c r="G23" s="298">
        <f t="shared" si="0"/>
        <v>26.995754136603274</v>
      </c>
      <c r="H23" s="298">
        <v>899.8584712201092</v>
      </c>
      <c r="I23" s="298">
        <f t="shared" si="1"/>
        <v>26.995754136603274</v>
      </c>
      <c r="J23" s="299">
        <f t="shared" si="2"/>
        <v>0</v>
      </c>
      <c r="K23" s="298">
        <f t="shared" si="3"/>
        <v>1.289402095504947</v>
      </c>
      <c r="L23" s="298">
        <v>0</v>
      </c>
      <c r="M23" s="298">
        <v>0</v>
      </c>
      <c r="O23" s="382"/>
      <c r="P23" s="414"/>
      <c r="Q23" s="382"/>
      <c r="R23" s="382"/>
      <c r="S23" s="382"/>
      <c r="T23" s="382"/>
      <c r="U23" s="382"/>
    </row>
    <row r="24" spans="1:21" ht="12.75">
      <c r="A24" s="201">
        <f t="shared" si="4"/>
        <v>12</v>
      </c>
      <c r="B24" s="201" t="s">
        <v>606</v>
      </c>
      <c r="C24" s="298">
        <v>32.58388170624218</v>
      </c>
      <c r="D24" s="298">
        <v>0.18290853444059033</v>
      </c>
      <c r="E24" s="298">
        <v>28.458915585746354</v>
      </c>
      <c r="F24" s="298">
        <f>'T6_FG_py_Utlsn'!E23+'T6A_FG_Upy_Utlsn '!E23</f>
        <v>936.9794870191715</v>
      </c>
      <c r="G24" s="298">
        <f t="shared" si="0"/>
        <v>28.109384610575145</v>
      </c>
      <c r="H24" s="298">
        <v>936.9794870191715</v>
      </c>
      <c r="I24" s="298">
        <f t="shared" si="1"/>
        <v>28.109384610575145</v>
      </c>
      <c r="J24" s="299">
        <f t="shared" si="2"/>
        <v>0</v>
      </c>
      <c r="K24" s="298">
        <f t="shared" si="3"/>
        <v>0.5324395096117982</v>
      </c>
      <c r="L24" s="298">
        <v>0</v>
      </c>
      <c r="M24" s="298">
        <v>0</v>
      </c>
      <c r="O24" s="382"/>
      <c r="P24" s="414"/>
      <c r="Q24" s="382"/>
      <c r="R24" s="382"/>
      <c r="S24" s="382"/>
      <c r="T24" s="382"/>
      <c r="U24" s="382"/>
    </row>
    <row r="25" spans="1:21" ht="12.75">
      <c r="A25" s="201">
        <f t="shared" si="4"/>
        <v>13</v>
      </c>
      <c r="B25" s="201" t="s">
        <v>607</v>
      </c>
      <c r="C25" s="298">
        <v>93.39373227704678</v>
      </c>
      <c r="D25" s="298">
        <v>0.044262604766912905</v>
      </c>
      <c r="E25" s="298">
        <v>81.57052517782408</v>
      </c>
      <c r="F25" s="298">
        <f>'T6_FG_py_Utlsn'!E24+'T6A_FG_Upy_Utlsn '!E24</f>
        <v>2708.3267509337184</v>
      </c>
      <c r="G25" s="298">
        <f t="shared" si="0"/>
        <v>81.24980252801154</v>
      </c>
      <c r="H25" s="298">
        <v>2708.3267509337184</v>
      </c>
      <c r="I25" s="298">
        <f t="shared" si="1"/>
        <v>81.24980252801154</v>
      </c>
      <c r="J25" s="299">
        <f t="shared" si="2"/>
        <v>0</v>
      </c>
      <c r="K25" s="298">
        <f t="shared" si="3"/>
        <v>0.36498525457945163</v>
      </c>
      <c r="L25" s="298">
        <v>0</v>
      </c>
      <c r="M25" s="298">
        <v>0</v>
      </c>
      <c r="O25" s="382"/>
      <c r="P25" s="414"/>
      <c r="Q25" s="382"/>
      <c r="R25" s="382"/>
      <c r="S25" s="382"/>
      <c r="T25" s="382"/>
      <c r="U25" s="382"/>
    </row>
    <row r="26" spans="1:21" ht="12.75">
      <c r="A26" s="201">
        <f t="shared" si="4"/>
        <v>14</v>
      </c>
      <c r="B26" s="201" t="s">
        <v>636</v>
      </c>
      <c r="C26" s="298">
        <v>29.669991256333873</v>
      </c>
      <c r="D26" s="298">
        <v>0.4565515074749831</v>
      </c>
      <c r="E26" s="298">
        <v>25.913909957268192</v>
      </c>
      <c r="F26" s="298">
        <f>'T6_FG_py_Utlsn'!E25+'T6A_FG_Upy_Utlsn '!E25</f>
        <v>879.067211462715</v>
      </c>
      <c r="G26" s="298">
        <f t="shared" si="0"/>
        <v>26.37201634388145</v>
      </c>
      <c r="H26" s="298">
        <v>879.067211462715</v>
      </c>
      <c r="I26" s="298">
        <f t="shared" si="1"/>
        <v>26.37201634388145</v>
      </c>
      <c r="J26" s="299">
        <f t="shared" si="2"/>
        <v>0</v>
      </c>
      <c r="K26" s="298">
        <f t="shared" si="3"/>
        <v>-0.0015548791382755667</v>
      </c>
      <c r="L26" s="298">
        <v>0</v>
      </c>
      <c r="M26" s="298">
        <v>0</v>
      </c>
      <c r="O26" s="382"/>
      <c r="P26" s="414"/>
      <c r="Q26" s="382"/>
      <c r="R26" s="382"/>
      <c r="S26" s="382"/>
      <c r="T26" s="382"/>
      <c r="U26" s="382"/>
    </row>
    <row r="27" spans="1:21" ht="12.75">
      <c r="A27" s="201">
        <f t="shared" si="4"/>
        <v>15</v>
      </c>
      <c r="B27" s="201" t="s">
        <v>608</v>
      </c>
      <c r="C27" s="298">
        <v>50.12975424367288</v>
      </c>
      <c r="D27" s="298">
        <v>0.28140170539658604</v>
      </c>
      <c r="E27" s="298">
        <v>43.783563211303694</v>
      </c>
      <c r="F27" s="298">
        <f>'T6_FG_py_Utlsn'!E26+'T6A_FG_Upy_Utlsn '!E26</f>
        <v>1465.653718199404</v>
      </c>
      <c r="G27" s="298">
        <f t="shared" si="0"/>
        <v>43.96961154598212</v>
      </c>
      <c r="H27" s="298">
        <v>1465.653718199404</v>
      </c>
      <c r="I27" s="298">
        <f t="shared" si="1"/>
        <v>43.96961154598212</v>
      </c>
      <c r="J27" s="299">
        <f t="shared" si="2"/>
        <v>0</v>
      </c>
      <c r="K27" s="298">
        <f t="shared" si="3"/>
        <v>0.09535337071815775</v>
      </c>
      <c r="L27" s="298">
        <v>0</v>
      </c>
      <c r="M27" s="298">
        <v>0</v>
      </c>
      <c r="O27" s="382"/>
      <c r="P27" s="414"/>
      <c r="Q27" s="382"/>
      <c r="R27" s="382"/>
      <c r="S27" s="382"/>
      <c r="T27" s="382"/>
      <c r="U27" s="382"/>
    </row>
    <row r="28" spans="1:21" ht="12.75">
      <c r="A28" s="201">
        <f t="shared" si="4"/>
        <v>16</v>
      </c>
      <c r="B28" s="201" t="s">
        <v>609</v>
      </c>
      <c r="C28" s="298">
        <v>51.72801690246379</v>
      </c>
      <c r="D28" s="298">
        <v>0.41037349958630537</v>
      </c>
      <c r="E28" s="298">
        <v>45.1794933371385</v>
      </c>
      <c r="F28" s="298">
        <f>'T6_FG_py_Utlsn'!E27+'T6A_FG_Upy_Utlsn '!E27</f>
        <v>1519.0891409582634</v>
      </c>
      <c r="G28" s="298">
        <f t="shared" si="0"/>
        <v>45.57267422874791</v>
      </c>
      <c r="H28" s="298">
        <v>1519.0891409582634</v>
      </c>
      <c r="I28" s="298">
        <f t="shared" si="1"/>
        <v>45.57267422874791</v>
      </c>
      <c r="J28" s="299">
        <f t="shared" si="2"/>
        <v>0</v>
      </c>
      <c r="K28" s="298">
        <f t="shared" si="3"/>
        <v>0.017192607976902252</v>
      </c>
      <c r="L28" s="298">
        <v>0</v>
      </c>
      <c r="M28" s="298">
        <v>0</v>
      </c>
      <c r="O28" s="382"/>
      <c r="P28" s="414"/>
      <c r="Q28" s="382"/>
      <c r="R28" s="382"/>
      <c r="S28" s="382"/>
      <c r="T28" s="382"/>
      <c r="U28" s="382"/>
    </row>
    <row r="29" spans="1:21" ht="12.75">
      <c r="A29" s="201">
        <f t="shared" si="4"/>
        <v>17</v>
      </c>
      <c r="B29" s="201" t="s">
        <v>610</v>
      </c>
      <c r="C29" s="298">
        <v>41.58817837548673</v>
      </c>
      <c r="D29" s="298">
        <v>0.2334538538192909</v>
      </c>
      <c r="E29" s="298">
        <v>36.323310660872</v>
      </c>
      <c r="F29" s="298">
        <f>'T6_FG_py_Utlsn'!E28+'T6A_FG_Upy_Utlsn '!E28</f>
        <v>1214.5514513176813</v>
      </c>
      <c r="G29" s="298">
        <f t="shared" si="0"/>
        <v>36.43654353953044</v>
      </c>
      <c r="H29" s="298">
        <v>1214.5514513176813</v>
      </c>
      <c r="I29" s="298">
        <f t="shared" si="1"/>
        <v>36.43654353953044</v>
      </c>
      <c r="J29" s="299">
        <f t="shared" si="2"/>
        <v>0</v>
      </c>
      <c r="K29" s="298">
        <f t="shared" si="3"/>
        <v>0.12022097516085495</v>
      </c>
      <c r="L29" s="298">
        <v>0</v>
      </c>
      <c r="M29" s="298">
        <v>0</v>
      </c>
      <c r="O29" s="382"/>
      <c r="P29" s="414"/>
      <c r="Q29" s="382"/>
      <c r="R29" s="382"/>
      <c r="S29" s="382"/>
      <c r="T29" s="382"/>
      <c r="U29" s="382"/>
    </row>
    <row r="30" spans="1:21" ht="12.75">
      <c r="A30" s="201">
        <f t="shared" si="4"/>
        <v>18</v>
      </c>
      <c r="B30" s="201" t="s">
        <v>611</v>
      </c>
      <c r="C30" s="298">
        <v>66.61762192246734</v>
      </c>
      <c r="D30" s="298">
        <v>0.3739558013255844</v>
      </c>
      <c r="E30" s="298">
        <v>58.18414441553377</v>
      </c>
      <c r="F30" s="298">
        <f>'T6_FG_py_Utlsn'!E29+'T6A_FG_Upy_Utlsn '!E29</f>
        <v>1950.0554689056494</v>
      </c>
      <c r="G30" s="298">
        <f t="shared" si="0"/>
        <v>58.501664067169486</v>
      </c>
      <c r="H30" s="298">
        <v>1950.0554689056494</v>
      </c>
      <c r="I30" s="298">
        <f t="shared" si="1"/>
        <v>58.501664067169486</v>
      </c>
      <c r="J30" s="299">
        <f t="shared" si="2"/>
        <v>0</v>
      </c>
      <c r="K30" s="298">
        <f t="shared" si="3"/>
        <v>0.05643614968987265</v>
      </c>
      <c r="L30" s="298">
        <v>0</v>
      </c>
      <c r="M30" s="298">
        <v>0</v>
      </c>
      <c r="O30" s="382"/>
      <c r="P30" s="414"/>
      <c r="Q30" s="382"/>
      <c r="R30" s="382"/>
      <c r="S30" s="382"/>
      <c r="T30" s="382"/>
      <c r="U30" s="382"/>
    </row>
    <row r="31" spans="1:21" ht="12.75">
      <c r="A31" s="201">
        <f t="shared" si="4"/>
        <v>19</v>
      </c>
      <c r="B31" s="201" t="s">
        <v>637</v>
      </c>
      <c r="C31" s="298">
        <v>33.12413950639685</v>
      </c>
      <c r="D31" s="298">
        <v>0.08594125360331237</v>
      </c>
      <c r="E31" s="298">
        <v>28.930779290253895</v>
      </c>
      <c r="F31" s="298">
        <f>'T6_FG_py_Utlsn'!E30+'T6A_FG_Upy_Utlsn '!E30</f>
        <v>955.4097106806282</v>
      </c>
      <c r="G31" s="298">
        <f t="shared" si="0"/>
        <v>28.662291320418845</v>
      </c>
      <c r="H31" s="298">
        <v>955.4097106806282</v>
      </c>
      <c r="I31" s="298">
        <f t="shared" si="1"/>
        <v>28.662291320418845</v>
      </c>
      <c r="J31" s="299">
        <f t="shared" si="2"/>
        <v>0</v>
      </c>
      <c r="K31" s="298">
        <f t="shared" si="3"/>
        <v>0.3544292234383626</v>
      </c>
      <c r="L31" s="298">
        <v>0</v>
      </c>
      <c r="M31" s="298">
        <v>0</v>
      </c>
      <c r="O31" s="382"/>
      <c r="P31" s="414"/>
      <c r="Q31" s="382"/>
      <c r="R31" s="382"/>
      <c r="S31" s="382"/>
      <c r="T31" s="382"/>
      <c r="U31" s="382"/>
    </row>
    <row r="32" spans="1:21" ht="12.75">
      <c r="A32" s="201">
        <f t="shared" si="4"/>
        <v>20</v>
      </c>
      <c r="B32" s="201" t="s">
        <v>612</v>
      </c>
      <c r="C32" s="298">
        <v>67.32045730137227</v>
      </c>
      <c r="D32" s="298">
        <v>0.17790114431042187</v>
      </c>
      <c r="E32" s="298">
        <v>58.79800414223108</v>
      </c>
      <c r="F32" s="298">
        <f>'T6_FG_py_Utlsn'!E31+'T6A_FG_Upy_Utlsn '!E31</f>
        <v>1962.2956737778572</v>
      </c>
      <c r="G32" s="298">
        <f t="shared" si="0"/>
        <v>58.86887021333572</v>
      </c>
      <c r="H32" s="298">
        <v>1962.2956737778572</v>
      </c>
      <c r="I32" s="298">
        <f t="shared" si="1"/>
        <v>58.86887021333572</v>
      </c>
      <c r="J32" s="299">
        <f t="shared" si="2"/>
        <v>0</v>
      </c>
      <c r="K32" s="298">
        <f t="shared" si="3"/>
        <v>0.10703507320578609</v>
      </c>
      <c r="L32" s="298">
        <v>0</v>
      </c>
      <c r="M32" s="298">
        <v>0</v>
      </c>
      <c r="O32" s="382"/>
      <c r="P32" s="414"/>
      <c r="Q32" s="382"/>
      <c r="R32" s="382"/>
      <c r="S32" s="382"/>
      <c r="T32" s="382"/>
      <c r="U32" s="382"/>
    </row>
    <row r="33" spans="1:21" ht="12.75">
      <c r="A33" s="201">
        <f t="shared" si="4"/>
        <v>21</v>
      </c>
      <c r="B33" s="201" t="s">
        <v>613</v>
      </c>
      <c r="C33" s="298">
        <v>20.149614990953918</v>
      </c>
      <c r="D33" s="298">
        <v>0.4131091924763366</v>
      </c>
      <c r="E33" s="298">
        <v>17.598768534781176</v>
      </c>
      <c r="F33" s="298">
        <f>'T6_FG_py_Utlsn'!E32+'T6A_FG_Upy_Utlsn '!E32</f>
        <v>599.7736176011322</v>
      </c>
      <c r="G33" s="298">
        <f t="shared" si="0"/>
        <v>17.993208528033964</v>
      </c>
      <c r="H33" s="298">
        <v>599.7736176011322</v>
      </c>
      <c r="I33" s="298">
        <f t="shared" si="1"/>
        <v>17.993208528033964</v>
      </c>
      <c r="J33" s="299">
        <f t="shared" si="2"/>
        <v>0</v>
      </c>
      <c r="K33" s="298">
        <f t="shared" si="3"/>
        <v>0.018669199223548816</v>
      </c>
      <c r="L33" s="298">
        <v>0</v>
      </c>
      <c r="M33" s="298">
        <v>0</v>
      </c>
      <c r="O33" s="382"/>
      <c r="P33" s="414"/>
      <c r="Q33" s="382"/>
      <c r="R33" s="382"/>
      <c r="S33" s="382"/>
      <c r="T33" s="382"/>
      <c r="U33" s="382"/>
    </row>
    <row r="34" spans="1:21" ht="12.75">
      <c r="A34" s="201">
        <f t="shared" si="4"/>
        <v>22</v>
      </c>
      <c r="B34" s="201" t="s">
        <v>614</v>
      </c>
      <c r="C34" s="298">
        <v>21.461907857379003</v>
      </c>
      <c r="D34" s="298">
        <v>0.12047570476356574</v>
      </c>
      <c r="E34" s="298">
        <v>18.744931298507822</v>
      </c>
      <c r="F34" s="298">
        <f>'T6_FG_py_Utlsn'!E33+'T6A_FG_Upy_Utlsn '!E33</f>
        <v>623.9822044067255</v>
      </c>
      <c r="G34" s="298">
        <f t="shared" si="0"/>
        <v>18.719466132201763</v>
      </c>
      <c r="H34" s="298">
        <v>623.9822044067255</v>
      </c>
      <c r="I34" s="298">
        <f t="shared" si="1"/>
        <v>18.719466132201763</v>
      </c>
      <c r="J34" s="299">
        <f t="shared" si="2"/>
        <v>0</v>
      </c>
      <c r="K34" s="298">
        <f t="shared" si="3"/>
        <v>0.1459408710696266</v>
      </c>
      <c r="L34" s="298">
        <v>0</v>
      </c>
      <c r="M34" s="298">
        <v>0</v>
      </c>
      <c r="O34" s="382"/>
      <c r="P34" s="414"/>
      <c r="Q34" s="382"/>
      <c r="R34" s="382"/>
      <c r="S34" s="382"/>
      <c r="T34" s="382"/>
      <c r="U34" s="382"/>
    </row>
    <row r="35" spans="1:21" ht="12.75">
      <c r="A35" s="201">
        <f t="shared" si="4"/>
        <v>23</v>
      </c>
      <c r="B35" s="201" t="s">
        <v>615</v>
      </c>
      <c r="C35" s="298">
        <v>96.12420186887789</v>
      </c>
      <c r="D35" s="298">
        <v>0.4195900048562873</v>
      </c>
      <c r="E35" s="298">
        <v>83.95533016588301</v>
      </c>
      <c r="F35" s="298">
        <f>'T6_FG_py_Utlsn'!E34+'T6A_FG_Upy_Utlsn '!E34</f>
        <v>2811.222368599474</v>
      </c>
      <c r="G35" s="298">
        <f t="shared" si="0"/>
        <v>84.33667105798422</v>
      </c>
      <c r="H35" s="298">
        <v>2811.222368599474</v>
      </c>
      <c r="I35" s="298">
        <f t="shared" si="1"/>
        <v>84.33667105798422</v>
      </c>
      <c r="J35" s="299">
        <f t="shared" si="2"/>
        <v>0</v>
      </c>
      <c r="K35" s="298">
        <f t="shared" si="3"/>
        <v>0.03824911275508214</v>
      </c>
      <c r="L35" s="298">
        <v>0</v>
      </c>
      <c r="M35" s="298">
        <v>0</v>
      </c>
      <c r="O35" s="382"/>
      <c r="P35" s="414"/>
      <c r="Q35" s="382"/>
      <c r="R35" s="382"/>
      <c r="S35" s="382"/>
      <c r="T35" s="382"/>
      <c r="U35" s="382"/>
    </row>
    <row r="36" spans="1:21" ht="12.75">
      <c r="A36" s="201">
        <f t="shared" si="4"/>
        <v>24</v>
      </c>
      <c r="B36" s="201" t="s">
        <v>616</v>
      </c>
      <c r="C36" s="298">
        <v>72.99900032120787</v>
      </c>
      <c r="D36" s="298">
        <v>0.03977745637415603</v>
      </c>
      <c r="E36" s="298">
        <v>63.757670332664496</v>
      </c>
      <c r="F36" s="298">
        <f>'T6_FG_py_Utlsn'!E35+'T6A_FG_Upy_Utlsn '!E35</f>
        <v>2124.2972622992406</v>
      </c>
      <c r="G36" s="298">
        <f t="shared" si="0"/>
        <v>63.72891786897722</v>
      </c>
      <c r="H36" s="298">
        <v>2124.2972622992406</v>
      </c>
      <c r="I36" s="298">
        <f t="shared" si="1"/>
        <v>63.72891786897722</v>
      </c>
      <c r="J36" s="299">
        <f t="shared" si="2"/>
        <v>0</v>
      </c>
      <c r="K36" s="298">
        <f t="shared" si="3"/>
        <v>0.06852992006142955</v>
      </c>
      <c r="L36" s="298">
        <v>0</v>
      </c>
      <c r="M36" s="298">
        <v>0</v>
      </c>
      <c r="O36" s="382"/>
      <c r="P36" s="414"/>
      <c r="Q36" s="382"/>
      <c r="R36" s="382"/>
      <c r="S36" s="382"/>
      <c r="T36" s="382"/>
      <c r="U36" s="382"/>
    </row>
    <row r="37" spans="1:21" ht="12.75">
      <c r="A37" s="201">
        <f t="shared" si="4"/>
        <v>25</v>
      </c>
      <c r="B37" s="201" t="s">
        <v>617</v>
      </c>
      <c r="C37" s="298">
        <v>50.52410908853887</v>
      </c>
      <c r="D37" s="298">
        <v>0.6436154031804866</v>
      </c>
      <c r="E37" s="298">
        <v>44.127994588205034</v>
      </c>
      <c r="F37" s="298">
        <f>'T6_FG_py_Utlsn'!E36+'T6A_FG_Upy_Utlsn '!E36</f>
        <v>1491.7620310928548</v>
      </c>
      <c r="G37" s="298">
        <f t="shared" si="0"/>
        <v>44.752860932785644</v>
      </c>
      <c r="H37" s="298">
        <v>1491.7620310928548</v>
      </c>
      <c r="I37" s="298">
        <f t="shared" si="1"/>
        <v>44.752860932785644</v>
      </c>
      <c r="J37" s="299">
        <f t="shared" si="2"/>
        <v>0</v>
      </c>
      <c r="K37" s="298">
        <f t="shared" si="3"/>
        <v>0.01874905859987308</v>
      </c>
      <c r="L37" s="298">
        <v>0</v>
      </c>
      <c r="M37" s="298">
        <v>0</v>
      </c>
      <c r="O37" s="382"/>
      <c r="P37" s="414"/>
      <c r="Q37" s="382"/>
      <c r="R37" s="382"/>
      <c r="S37" s="382"/>
      <c r="T37" s="382"/>
      <c r="U37" s="382"/>
    </row>
    <row r="38" spans="1:21" ht="12.75">
      <c r="A38" s="201">
        <f t="shared" si="4"/>
        <v>26</v>
      </c>
      <c r="B38" s="201" t="s">
        <v>618</v>
      </c>
      <c r="C38" s="298">
        <v>40.561855301427464</v>
      </c>
      <c r="D38" s="298">
        <v>0.22769262343455196</v>
      </c>
      <c r="E38" s="298">
        <v>35.42691525925351</v>
      </c>
      <c r="F38" s="298">
        <f>'T6_FG_py_Utlsn'!E37+'T6A_FG_Upy_Utlsn '!E37</f>
        <v>1184.953108628763</v>
      </c>
      <c r="G38" s="298">
        <f t="shared" si="0"/>
        <v>35.54859325886289</v>
      </c>
      <c r="H38" s="298">
        <v>1184.953108628763</v>
      </c>
      <c r="I38" s="298">
        <f t="shared" si="1"/>
        <v>35.54859325886289</v>
      </c>
      <c r="J38" s="299">
        <f t="shared" si="2"/>
        <v>0</v>
      </c>
      <c r="K38" s="298">
        <f t="shared" si="3"/>
        <v>0.10601462382517468</v>
      </c>
      <c r="L38" s="298">
        <v>0</v>
      </c>
      <c r="M38" s="298">
        <v>0</v>
      </c>
      <c r="O38" s="382"/>
      <c r="P38" s="414"/>
      <c r="Q38" s="382"/>
      <c r="R38" s="382"/>
      <c r="S38" s="382"/>
      <c r="T38" s="382"/>
      <c r="U38" s="382"/>
    </row>
    <row r="39" spans="1:21" ht="12.75">
      <c r="A39" s="201">
        <f t="shared" si="4"/>
        <v>27</v>
      </c>
      <c r="B39" s="201" t="s">
        <v>619</v>
      </c>
      <c r="C39" s="298">
        <v>60.70146551830444</v>
      </c>
      <c r="D39" s="298">
        <v>0.3407456544449123</v>
      </c>
      <c r="E39" s="298">
        <v>53.01694557728455</v>
      </c>
      <c r="F39" s="298">
        <f>'T6_FG_py_Utlsn'!E38+'T6A_FG_Upy_Utlsn '!E38</f>
        <v>1771.0826476433708</v>
      </c>
      <c r="G39" s="298">
        <f t="shared" si="0"/>
        <v>53.13247942930113</v>
      </c>
      <c r="H39" s="298">
        <v>1771.0826476433708</v>
      </c>
      <c r="I39" s="298">
        <f t="shared" si="1"/>
        <v>53.13247942930113</v>
      </c>
      <c r="J39" s="299">
        <f t="shared" si="2"/>
        <v>0</v>
      </c>
      <c r="K39" s="298">
        <f t="shared" si="3"/>
        <v>0.22521180242833339</v>
      </c>
      <c r="L39" s="298">
        <v>0</v>
      </c>
      <c r="M39" s="298">
        <v>0</v>
      </c>
      <c r="O39" s="382"/>
      <c r="P39" s="414"/>
      <c r="Q39" s="382"/>
      <c r="R39" s="382"/>
      <c r="S39" s="382"/>
      <c r="T39" s="382"/>
      <c r="U39" s="382"/>
    </row>
    <row r="40" spans="1:21" s="66" customFormat="1" ht="12.75">
      <c r="A40" s="201">
        <f t="shared" si="4"/>
        <v>28</v>
      </c>
      <c r="B40" s="143" t="s">
        <v>620</v>
      </c>
      <c r="C40" s="298">
        <v>29.849243458545686</v>
      </c>
      <c r="D40" s="298">
        <v>0.037557733740392396</v>
      </c>
      <c r="E40" s="298">
        <v>26.07046967404153</v>
      </c>
      <c r="F40" s="298">
        <f>'T6_FG_py_Utlsn'!E39+'T6A_FG_Upy_Utlsn '!E39</f>
        <v>863.1689137543343</v>
      </c>
      <c r="G40" s="298">
        <f t="shared" si="0"/>
        <v>25.89506741263003</v>
      </c>
      <c r="H40" s="298">
        <v>863.1689137543343</v>
      </c>
      <c r="I40" s="298">
        <f t="shared" si="1"/>
        <v>25.89506741263003</v>
      </c>
      <c r="J40" s="299">
        <f t="shared" si="2"/>
        <v>0</v>
      </c>
      <c r="K40" s="298">
        <f t="shared" si="3"/>
        <v>0.21295999515189123</v>
      </c>
      <c r="L40" s="298">
        <v>0</v>
      </c>
      <c r="M40" s="298">
        <v>0</v>
      </c>
      <c r="O40" s="382"/>
      <c r="P40" s="414"/>
      <c r="Q40" s="382"/>
      <c r="R40" s="382"/>
      <c r="S40" s="382"/>
      <c r="T40" s="382"/>
      <c r="U40" s="382"/>
    </row>
    <row r="41" spans="1:21" s="66" customFormat="1" ht="12.75">
      <c r="A41" s="201">
        <f t="shared" si="4"/>
        <v>29</v>
      </c>
      <c r="B41" s="143" t="s">
        <v>621</v>
      </c>
      <c r="C41" s="298">
        <v>23.07267648376608</v>
      </c>
      <c r="D41" s="298">
        <v>0.12951770078575553</v>
      </c>
      <c r="E41" s="298">
        <v>20.1517841952803</v>
      </c>
      <c r="F41" s="298">
        <f>'T6_FG_py_Utlsn'!E40+'T6A_FG_Upy_Utlsn '!E40</f>
        <v>667.6451090706066</v>
      </c>
      <c r="G41" s="298">
        <f t="shared" si="0"/>
        <v>20.029353272118197</v>
      </c>
      <c r="H41" s="298">
        <v>667.6451090706066</v>
      </c>
      <c r="I41" s="298">
        <f t="shared" si="1"/>
        <v>20.029353272118197</v>
      </c>
      <c r="J41" s="299">
        <f t="shared" si="2"/>
        <v>0</v>
      </c>
      <c r="K41" s="298">
        <f t="shared" si="3"/>
        <v>0.25194862394785744</v>
      </c>
      <c r="L41" s="298">
        <v>0</v>
      </c>
      <c r="M41" s="298">
        <v>0</v>
      </c>
      <c r="O41" s="382"/>
      <c r="P41" s="414"/>
      <c r="Q41" s="382"/>
      <c r="R41" s="382"/>
      <c r="S41" s="382"/>
      <c r="T41" s="382"/>
      <c r="U41" s="382"/>
    </row>
    <row r="42" spans="1:21" ht="12.75">
      <c r="A42" s="201">
        <f t="shared" si="4"/>
        <v>30</v>
      </c>
      <c r="B42" s="143" t="s">
        <v>622</v>
      </c>
      <c r="C42" s="298">
        <v>28.665345192774645</v>
      </c>
      <c r="D42" s="298">
        <v>0.16091196026652618</v>
      </c>
      <c r="E42" s="298">
        <v>25.036447358608342</v>
      </c>
      <c r="F42" s="298">
        <f>'T6_FG_py_Utlsn'!E41+'T6A_FG_Upy_Utlsn '!E41</f>
        <v>837.4607549059133</v>
      </c>
      <c r="G42" s="298">
        <f t="shared" si="0"/>
        <v>25.1238226471774</v>
      </c>
      <c r="H42" s="298">
        <v>837.4607549059133</v>
      </c>
      <c r="I42" s="298">
        <f t="shared" si="1"/>
        <v>25.1238226471774</v>
      </c>
      <c r="J42" s="299">
        <f t="shared" si="2"/>
        <v>0</v>
      </c>
      <c r="K42" s="298">
        <f t="shared" si="3"/>
        <v>0.07353667169746814</v>
      </c>
      <c r="L42" s="298">
        <v>0</v>
      </c>
      <c r="M42" s="298">
        <v>0</v>
      </c>
      <c r="O42" s="382"/>
      <c r="P42" s="414"/>
      <c r="Q42" s="382"/>
      <c r="R42" s="382"/>
      <c r="S42" s="382"/>
      <c r="T42" s="382"/>
      <c r="U42" s="382"/>
    </row>
    <row r="43" spans="1:21" ht="15.75" customHeight="1">
      <c r="A43" s="201">
        <f t="shared" si="4"/>
        <v>31</v>
      </c>
      <c r="B43" s="143" t="s">
        <v>623</v>
      </c>
      <c r="C43" s="298">
        <v>27.90164743823501</v>
      </c>
      <c r="D43" s="298">
        <v>0.626624968363666</v>
      </c>
      <c r="E43" s="298">
        <v>24.36943014668102</v>
      </c>
      <c r="F43" s="298">
        <f>'T6_FG_py_Utlsn'!E42+'T6A_FG_Upy_Utlsn '!E42</f>
        <v>832.3828048427783</v>
      </c>
      <c r="G43" s="298">
        <f t="shared" si="0"/>
        <v>24.97148414528335</v>
      </c>
      <c r="H43" s="298">
        <v>832.3828048427783</v>
      </c>
      <c r="I43" s="298">
        <f t="shared" si="1"/>
        <v>24.97148414528335</v>
      </c>
      <c r="J43" s="299">
        <f t="shared" si="2"/>
        <v>0</v>
      </c>
      <c r="K43" s="298">
        <f t="shared" si="3"/>
        <v>0.024570969761334993</v>
      </c>
      <c r="L43" s="298">
        <v>0</v>
      </c>
      <c r="M43" s="298">
        <v>0</v>
      </c>
      <c r="O43" s="382"/>
      <c r="P43" s="414"/>
      <c r="Q43" s="382"/>
      <c r="R43" s="382"/>
      <c r="S43" s="382"/>
      <c r="T43" s="382"/>
      <c r="U43" s="382"/>
    </row>
    <row r="44" spans="1:15" s="106" customFormat="1" ht="15.75" customHeight="1">
      <c r="A44" s="150"/>
      <c r="B44" s="150" t="s">
        <v>624</v>
      </c>
      <c r="C44" s="300">
        <f>SUM(C13:C43)</f>
        <v>1419.7999999999997</v>
      </c>
      <c r="D44" s="300">
        <f aca="true" t="shared" si="5" ref="D44:M44">SUM(D13:D43)</f>
        <v>7.9700000000000015</v>
      </c>
      <c r="E44" s="300">
        <f t="shared" si="5"/>
        <v>1240.0599999999997</v>
      </c>
      <c r="F44" s="300">
        <f t="shared" si="5"/>
        <v>41266.049999999996</v>
      </c>
      <c r="G44" s="300">
        <f t="shared" si="5"/>
        <v>1237.9814999999999</v>
      </c>
      <c r="H44" s="300">
        <f t="shared" si="5"/>
        <v>40571.05999999999</v>
      </c>
      <c r="I44" s="300">
        <f t="shared" si="5"/>
        <v>1217.1317999999999</v>
      </c>
      <c r="J44" s="300">
        <f t="shared" si="5"/>
        <v>20.849699999999984</v>
      </c>
      <c r="K44" s="300">
        <f t="shared" si="5"/>
        <v>30.898199999999964</v>
      </c>
      <c r="L44" s="300">
        <f t="shared" si="5"/>
        <v>0</v>
      </c>
      <c r="M44" s="300">
        <f t="shared" si="5"/>
        <v>0</v>
      </c>
      <c r="O44" s="250"/>
    </row>
    <row r="45" s="324" customFormat="1" ht="12.75">
      <c r="J45" s="325"/>
    </row>
    <row r="46" ht="12.75">
      <c r="J46" s="65"/>
    </row>
    <row r="47" ht="15.75" customHeight="1"/>
    <row r="48" spans="10:13" ht="15.75">
      <c r="J48" s="621" t="s">
        <v>860</v>
      </c>
      <c r="K48" s="621"/>
      <c r="L48" s="621"/>
      <c r="M48" s="621"/>
    </row>
    <row r="49" spans="10:13" ht="15.75">
      <c r="J49" s="621" t="s">
        <v>653</v>
      </c>
      <c r="K49" s="621"/>
      <c r="L49" s="621"/>
      <c r="M49" s="621"/>
    </row>
    <row r="59" ht="12.75">
      <c r="O59" s="65">
        <f>1065382+637565</f>
        <v>1702947</v>
      </c>
    </row>
  </sheetData>
  <sheetProtection/>
  <mergeCells count="19">
    <mergeCell ref="B9:B11"/>
    <mergeCell ref="J48:M48"/>
    <mergeCell ref="J49:M49"/>
    <mergeCell ref="A6:M6"/>
    <mergeCell ref="A4:M4"/>
    <mergeCell ref="A3:M3"/>
    <mergeCell ref="D9:D11"/>
    <mergeCell ref="E9:E11"/>
    <mergeCell ref="A9:A11"/>
    <mergeCell ref="M9:M11"/>
    <mergeCell ref="L9:L11"/>
    <mergeCell ref="K1:M1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48" right="0.44" top="0.41" bottom="0" header="0.31496062992125984" footer="0.31496062992125984"/>
  <pageSetup fitToHeight="1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9"/>
  <sheetViews>
    <sheetView view="pageBreakPreview" zoomScale="55" zoomScaleNormal="70" zoomScaleSheetLayoutView="55" zoomScalePageLayoutView="0" workbookViewId="0" topLeftCell="A19">
      <selection activeCell="P23" sqref="P23"/>
    </sheetView>
  </sheetViews>
  <sheetFormatPr defaultColWidth="9.140625" defaultRowHeight="12.75"/>
  <cols>
    <col min="1" max="1" width="5.57421875" style="6" customWidth="1"/>
    <col min="2" max="2" width="24.57421875" style="6" customWidth="1"/>
    <col min="3" max="3" width="10.57421875" style="6" customWidth="1"/>
    <col min="4" max="4" width="9.8515625" style="6" customWidth="1"/>
    <col min="5" max="5" width="8.7109375" style="6" customWidth="1"/>
    <col min="6" max="6" width="10.8515625" style="6" customWidth="1"/>
    <col min="7" max="7" width="15.8515625" style="6" customWidth="1"/>
    <col min="8" max="8" width="12.421875" style="6" customWidth="1"/>
    <col min="9" max="9" width="12.140625" style="6" customWidth="1"/>
    <col min="10" max="10" width="9.00390625" style="6" customWidth="1"/>
    <col min="11" max="11" width="12.00390625" style="6" customWidth="1"/>
    <col min="12" max="12" width="17.28125" style="6" customWidth="1"/>
    <col min="13" max="13" width="9.140625" style="6" hidden="1" customWidth="1"/>
    <col min="14" max="16384" width="9.140625" style="6" customWidth="1"/>
  </cols>
  <sheetData>
    <row r="1" spans="4:16" ht="15">
      <c r="D1" s="21"/>
      <c r="E1" s="21"/>
      <c r="F1" s="21"/>
      <c r="G1" s="21"/>
      <c r="H1" s="21"/>
      <c r="I1" s="21"/>
      <c r="J1" s="21"/>
      <c r="K1" s="21"/>
      <c r="L1" s="676" t="s">
        <v>426</v>
      </c>
      <c r="M1" s="676"/>
      <c r="N1" s="676"/>
      <c r="O1" s="25"/>
      <c r="P1" s="25"/>
    </row>
    <row r="2" spans="1:16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27"/>
      <c r="N2" s="27"/>
      <c r="O2" s="27"/>
      <c r="P2" s="27"/>
    </row>
    <row r="3" spans="1:16" ht="20.25">
      <c r="A3" s="654" t="s">
        <v>695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26"/>
      <c r="N3" s="26"/>
      <c r="O3" s="26"/>
      <c r="P3" s="26"/>
    </row>
    <row r="4" ht="10.5" customHeight="1"/>
    <row r="5" spans="1:12" ht="19.5" customHeight="1">
      <c r="A5" s="652" t="s">
        <v>719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559" t="s">
        <v>665</v>
      </c>
      <c r="B7" s="559"/>
      <c r="F7" s="677" t="s">
        <v>17</v>
      </c>
      <c r="G7" s="677"/>
      <c r="H7" s="677"/>
      <c r="I7" s="677"/>
      <c r="J7" s="677"/>
      <c r="K7" s="677"/>
      <c r="L7" s="677"/>
    </row>
    <row r="8" spans="1:12" ht="12.75">
      <c r="A8" s="5"/>
      <c r="F8" s="7"/>
      <c r="G8" s="46"/>
      <c r="H8" s="46"/>
      <c r="I8" s="640" t="s">
        <v>750</v>
      </c>
      <c r="J8" s="640"/>
      <c r="K8" s="640"/>
      <c r="L8" s="640"/>
    </row>
    <row r="9" spans="1:19" s="5" customFormat="1" ht="12.75">
      <c r="A9" s="530" t="s">
        <v>2</v>
      </c>
      <c r="B9" s="530" t="s">
        <v>3</v>
      </c>
      <c r="C9" s="537" t="s">
        <v>21</v>
      </c>
      <c r="D9" s="538"/>
      <c r="E9" s="538"/>
      <c r="F9" s="538"/>
      <c r="G9" s="538"/>
      <c r="H9" s="537" t="s">
        <v>22</v>
      </c>
      <c r="I9" s="538"/>
      <c r="J9" s="538"/>
      <c r="K9" s="538"/>
      <c r="L9" s="538"/>
      <c r="R9" s="17"/>
      <c r="S9" s="18"/>
    </row>
    <row r="10" spans="1:12" s="5" customFormat="1" ht="63.75">
      <c r="A10" s="530"/>
      <c r="B10" s="530"/>
      <c r="C10" s="1" t="s">
        <v>715</v>
      </c>
      <c r="D10" s="1" t="s">
        <v>785</v>
      </c>
      <c r="E10" s="1" t="s">
        <v>66</v>
      </c>
      <c r="F10" s="1" t="s">
        <v>67</v>
      </c>
      <c r="G10" s="1" t="s">
        <v>358</v>
      </c>
      <c r="H10" s="1" t="s">
        <v>715</v>
      </c>
      <c r="I10" s="1" t="s">
        <v>785</v>
      </c>
      <c r="J10" s="1" t="s">
        <v>66</v>
      </c>
      <c r="K10" s="1" t="s">
        <v>67</v>
      </c>
      <c r="L10" s="1" t="s">
        <v>359</v>
      </c>
    </row>
    <row r="11" spans="1:12" s="5" customFormat="1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2" s="5" customFormat="1" ht="15">
      <c r="A12" s="133">
        <v>1</v>
      </c>
      <c r="B12" s="201" t="s">
        <v>633</v>
      </c>
      <c r="C12" s="692" t="s">
        <v>638</v>
      </c>
      <c r="D12" s="693"/>
      <c r="E12" s="693"/>
      <c r="F12" s="693"/>
      <c r="G12" s="693"/>
      <c r="H12" s="693"/>
      <c r="I12" s="693"/>
      <c r="J12" s="693"/>
      <c r="K12" s="693"/>
      <c r="L12" s="694"/>
    </row>
    <row r="13" spans="1:12" s="5" customFormat="1" ht="15">
      <c r="A13" s="133">
        <f>A12+1</f>
        <v>2</v>
      </c>
      <c r="B13" s="201" t="s">
        <v>598</v>
      </c>
      <c r="C13" s="695"/>
      <c r="D13" s="696"/>
      <c r="E13" s="696"/>
      <c r="F13" s="696"/>
      <c r="G13" s="696"/>
      <c r="H13" s="696"/>
      <c r="I13" s="696"/>
      <c r="J13" s="696"/>
      <c r="K13" s="696"/>
      <c r="L13" s="697"/>
    </row>
    <row r="14" spans="1:12" s="5" customFormat="1" ht="15">
      <c r="A14" s="133">
        <f aca="true" t="shared" si="0" ref="A14:A42">A13+1</f>
        <v>3</v>
      </c>
      <c r="B14" s="201" t="s">
        <v>634</v>
      </c>
      <c r="C14" s="695"/>
      <c r="D14" s="696"/>
      <c r="E14" s="696"/>
      <c r="F14" s="696"/>
      <c r="G14" s="696"/>
      <c r="H14" s="696"/>
      <c r="I14" s="696"/>
      <c r="J14" s="696"/>
      <c r="K14" s="696"/>
      <c r="L14" s="697"/>
    </row>
    <row r="15" spans="1:12" s="5" customFormat="1" ht="15">
      <c r="A15" s="133">
        <f t="shared" si="0"/>
        <v>4</v>
      </c>
      <c r="B15" s="201" t="s">
        <v>599</v>
      </c>
      <c r="C15" s="695"/>
      <c r="D15" s="696"/>
      <c r="E15" s="696"/>
      <c r="F15" s="696"/>
      <c r="G15" s="696"/>
      <c r="H15" s="696"/>
      <c r="I15" s="696"/>
      <c r="J15" s="696"/>
      <c r="K15" s="696"/>
      <c r="L15" s="697"/>
    </row>
    <row r="16" spans="1:12" s="5" customFormat="1" ht="15">
      <c r="A16" s="133">
        <f t="shared" si="0"/>
        <v>5</v>
      </c>
      <c r="B16" s="201" t="s">
        <v>600</v>
      </c>
      <c r="C16" s="695"/>
      <c r="D16" s="696"/>
      <c r="E16" s="696"/>
      <c r="F16" s="696"/>
      <c r="G16" s="696"/>
      <c r="H16" s="696"/>
      <c r="I16" s="696"/>
      <c r="J16" s="696"/>
      <c r="K16" s="696"/>
      <c r="L16" s="697"/>
    </row>
    <row r="17" spans="1:12" s="5" customFormat="1" ht="15">
      <c r="A17" s="133">
        <f t="shared" si="0"/>
        <v>6</v>
      </c>
      <c r="B17" s="201" t="s">
        <v>601</v>
      </c>
      <c r="C17" s="695"/>
      <c r="D17" s="696"/>
      <c r="E17" s="696"/>
      <c r="F17" s="696"/>
      <c r="G17" s="696"/>
      <c r="H17" s="696"/>
      <c r="I17" s="696"/>
      <c r="J17" s="696"/>
      <c r="K17" s="696"/>
      <c r="L17" s="697"/>
    </row>
    <row r="18" spans="1:12" s="5" customFormat="1" ht="15">
      <c r="A18" s="133">
        <f t="shared" si="0"/>
        <v>7</v>
      </c>
      <c r="B18" s="201" t="s">
        <v>602</v>
      </c>
      <c r="C18" s="695"/>
      <c r="D18" s="696"/>
      <c r="E18" s="696"/>
      <c r="F18" s="696"/>
      <c r="G18" s="696"/>
      <c r="H18" s="696"/>
      <c r="I18" s="696"/>
      <c r="J18" s="696"/>
      <c r="K18" s="696"/>
      <c r="L18" s="697"/>
    </row>
    <row r="19" spans="1:12" s="5" customFormat="1" ht="15">
      <c r="A19" s="133">
        <f t="shared" si="0"/>
        <v>8</v>
      </c>
      <c r="B19" s="201" t="s">
        <v>603</v>
      </c>
      <c r="C19" s="695"/>
      <c r="D19" s="696"/>
      <c r="E19" s="696"/>
      <c r="F19" s="696"/>
      <c r="G19" s="696"/>
      <c r="H19" s="696"/>
      <c r="I19" s="696"/>
      <c r="J19" s="696"/>
      <c r="K19" s="696"/>
      <c r="L19" s="697"/>
    </row>
    <row r="20" spans="1:12" s="5" customFormat="1" ht="15">
      <c r="A20" s="133">
        <f t="shared" si="0"/>
        <v>9</v>
      </c>
      <c r="B20" s="201" t="s">
        <v>604</v>
      </c>
      <c r="C20" s="695"/>
      <c r="D20" s="696"/>
      <c r="E20" s="696"/>
      <c r="F20" s="696"/>
      <c r="G20" s="696"/>
      <c r="H20" s="696"/>
      <c r="I20" s="696"/>
      <c r="J20" s="696"/>
      <c r="K20" s="696"/>
      <c r="L20" s="697"/>
    </row>
    <row r="21" spans="1:12" s="5" customFormat="1" ht="15">
      <c r="A21" s="133">
        <f t="shared" si="0"/>
        <v>10</v>
      </c>
      <c r="B21" s="201" t="s">
        <v>605</v>
      </c>
      <c r="C21" s="695"/>
      <c r="D21" s="696"/>
      <c r="E21" s="696"/>
      <c r="F21" s="696"/>
      <c r="G21" s="696"/>
      <c r="H21" s="696"/>
      <c r="I21" s="696"/>
      <c r="J21" s="696"/>
      <c r="K21" s="696"/>
      <c r="L21" s="697"/>
    </row>
    <row r="22" spans="1:12" s="5" customFormat="1" ht="15">
      <c r="A22" s="133">
        <f t="shared" si="0"/>
        <v>11</v>
      </c>
      <c r="B22" s="201" t="s">
        <v>635</v>
      </c>
      <c r="C22" s="695"/>
      <c r="D22" s="696"/>
      <c r="E22" s="696"/>
      <c r="F22" s="696"/>
      <c r="G22" s="696"/>
      <c r="H22" s="696"/>
      <c r="I22" s="696"/>
      <c r="J22" s="696"/>
      <c r="K22" s="696"/>
      <c r="L22" s="697"/>
    </row>
    <row r="23" spans="1:12" s="5" customFormat="1" ht="15">
      <c r="A23" s="133">
        <f t="shared" si="0"/>
        <v>12</v>
      </c>
      <c r="B23" s="201" t="s">
        <v>606</v>
      </c>
      <c r="C23" s="695"/>
      <c r="D23" s="696"/>
      <c r="E23" s="696"/>
      <c r="F23" s="696"/>
      <c r="G23" s="696"/>
      <c r="H23" s="696"/>
      <c r="I23" s="696"/>
      <c r="J23" s="696"/>
      <c r="K23" s="696"/>
      <c r="L23" s="697"/>
    </row>
    <row r="24" spans="1:12" s="5" customFormat="1" ht="15">
      <c r="A24" s="133">
        <f t="shared" si="0"/>
        <v>13</v>
      </c>
      <c r="B24" s="201" t="s">
        <v>607</v>
      </c>
      <c r="C24" s="695"/>
      <c r="D24" s="696"/>
      <c r="E24" s="696"/>
      <c r="F24" s="696"/>
      <c r="G24" s="696"/>
      <c r="H24" s="696"/>
      <c r="I24" s="696"/>
      <c r="J24" s="696"/>
      <c r="K24" s="696"/>
      <c r="L24" s="697"/>
    </row>
    <row r="25" spans="1:12" s="5" customFormat="1" ht="15">
      <c r="A25" s="133">
        <f t="shared" si="0"/>
        <v>14</v>
      </c>
      <c r="B25" s="201" t="s">
        <v>636</v>
      </c>
      <c r="C25" s="695"/>
      <c r="D25" s="696"/>
      <c r="E25" s="696"/>
      <c r="F25" s="696"/>
      <c r="G25" s="696"/>
      <c r="H25" s="696"/>
      <c r="I25" s="696"/>
      <c r="J25" s="696"/>
      <c r="K25" s="696"/>
      <c r="L25" s="697"/>
    </row>
    <row r="26" spans="1:12" s="5" customFormat="1" ht="15">
      <c r="A26" s="133">
        <f t="shared" si="0"/>
        <v>15</v>
      </c>
      <c r="B26" s="201" t="s">
        <v>608</v>
      </c>
      <c r="C26" s="695"/>
      <c r="D26" s="696"/>
      <c r="E26" s="696"/>
      <c r="F26" s="696"/>
      <c r="G26" s="696"/>
      <c r="H26" s="696"/>
      <c r="I26" s="696"/>
      <c r="J26" s="696"/>
      <c r="K26" s="696"/>
      <c r="L26" s="697"/>
    </row>
    <row r="27" spans="1:12" s="5" customFormat="1" ht="15">
      <c r="A27" s="133">
        <f t="shared" si="0"/>
        <v>16</v>
      </c>
      <c r="B27" s="201" t="s">
        <v>609</v>
      </c>
      <c r="C27" s="695"/>
      <c r="D27" s="696"/>
      <c r="E27" s="696"/>
      <c r="F27" s="696"/>
      <c r="G27" s="696"/>
      <c r="H27" s="696"/>
      <c r="I27" s="696"/>
      <c r="J27" s="696"/>
      <c r="K27" s="696"/>
      <c r="L27" s="697"/>
    </row>
    <row r="28" spans="1:12" ht="15">
      <c r="A28" s="133">
        <f t="shared" si="0"/>
        <v>17</v>
      </c>
      <c r="B28" s="201" t="s">
        <v>610</v>
      </c>
      <c r="C28" s="695"/>
      <c r="D28" s="696"/>
      <c r="E28" s="696"/>
      <c r="F28" s="696"/>
      <c r="G28" s="696"/>
      <c r="H28" s="696"/>
      <c r="I28" s="696"/>
      <c r="J28" s="696"/>
      <c r="K28" s="696"/>
      <c r="L28" s="697"/>
    </row>
    <row r="29" spans="1:12" ht="15">
      <c r="A29" s="133">
        <f t="shared" si="0"/>
        <v>18</v>
      </c>
      <c r="B29" s="201" t="s">
        <v>611</v>
      </c>
      <c r="C29" s="695"/>
      <c r="D29" s="696"/>
      <c r="E29" s="696"/>
      <c r="F29" s="696"/>
      <c r="G29" s="696"/>
      <c r="H29" s="696"/>
      <c r="I29" s="696"/>
      <c r="J29" s="696"/>
      <c r="K29" s="696"/>
      <c r="L29" s="697"/>
    </row>
    <row r="30" spans="1:12" ht="15">
      <c r="A30" s="133">
        <f t="shared" si="0"/>
        <v>19</v>
      </c>
      <c r="B30" s="201" t="s">
        <v>637</v>
      </c>
      <c r="C30" s="695"/>
      <c r="D30" s="696"/>
      <c r="E30" s="696"/>
      <c r="F30" s="696"/>
      <c r="G30" s="696"/>
      <c r="H30" s="696"/>
      <c r="I30" s="696"/>
      <c r="J30" s="696"/>
      <c r="K30" s="696"/>
      <c r="L30" s="697"/>
    </row>
    <row r="31" spans="1:12" ht="15">
      <c r="A31" s="133">
        <f t="shared" si="0"/>
        <v>20</v>
      </c>
      <c r="B31" s="201" t="s">
        <v>612</v>
      </c>
      <c r="C31" s="695"/>
      <c r="D31" s="696"/>
      <c r="E31" s="696"/>
      <c r="F31" s="696"/>
      <c r="G31" s="696"/>
      <c r="H31" s="696"/>
      <c r="I31" s="696"/>
      <c r="J31" s="696"/>
      <c r="K31" s="696"/>
      <c r="L31" s="697"/>
    </row>
    <row r="32" spans="1:12" ht="15">
      <c r="A32" s="133">
        <f t="shared" si="0"/>
        <v>21</v>
      </c>
      <c r="B32" s="201" t="s">
        <v>613</v>
      </c>
      <c r="C32" s="695"/>
      <c r="D32" s="696"/>
      <c r="E32" s="696"/>
      <c r="F32" s="696"/>
      <c r="G32" s="696"/>
      <c r="H32" s="696"/>
      <c r="I32" s="696"/>
      <c r="J32" s="696"/>
      <c r="K32" s="696"/>
      <c r="L32" s="697"/>
    </row>
    <row r="33" spans="1:12" ht="15">
      <c r="A33" s="133">
        <f t="shared" si="0"/>
        <v>22</v>
      </c>
      <c r="B33" s="201" t="s">
        <v>614</v>
      </c>
      <c r="C33" s="695"/>
      <c r="D33" s="696"/>
      <c r="E33" s="696"/>
      <c r="F33" s="696"/>
      <c r="G33" s="696"/>
      <c r="H33" s="696"/>
      <c r="I33" s="696"/>
      <c r="J33" s="696"/>
      <c r="K33" s="696"/>
      <c r="L33" s="697"/>
    </row>
    <row r="34" spans="1:12" ht="15">
      <c r="A34" s="133">
        <f t="shared" si="0"/>
        <v>23</v>
      </c>
      <c r="B34" s="201" t="s">
        <v>615</v>
      </c>
      <c r="C34" s="695"/>
      <c r="D34" s="696"/>
      <c r="E34" s="696"/>
      <c r="F34" s="696"/>
      <c r="G34" s="696"/>
      <c r="H34" s="696"/>
      <c r="I34" s="696"/>
      <c r="J34" s="696"/>
      <c r="K34" s="696"/>
      <c r="L34" s="697"/>
    </row>
    <row r="35" spans="1:12" ht="15">
      <c r="A35" s="133">
        <f t="shared" si="0"/>
        <v>24</v>
      </c>
      <c r="B35" s="201" t="s">
        <v>616</v>
      </c>
      <c r="C35" s="695"/>
      <c r="D35" s="696"/>
      <c r="E35" s="696"/>
      <c r="F35" s="696"/>
      <c r="G35" s="696"/>
      <c r="H35" s="696"/>
      <c r="I35" s="696"/>
      <c r="J35" s="696"/>
      <c r="K35" s="696"/>
      <c r="L35" s="697"/>
    </row>
    <row r="36" spans="1:12" ht="15">
      <c r="A36" s="133">
        <f t="shared" si="0"/>
        <v>25</v>
      </c>
      <c r="B36" s="201" t="s">
        <v>617</v>
      </c>
      <c r="C36" s="695"/>
      <c r="D36" s="696"/>
      <c r="E36" s="696"/>
      <c r="F36" s="696"/>
      <c r="G36" s="696"/>
      <c r="H36" s="696"/>
      <c r="I36" s="696"/>
      <c r="J36" s="696"/>
      <c r="K36" s="696"/>
      <c r="L36" s="697"/>
    </row>
    <row r="37" spans="1:12" ht="15">
      <c r="A37" s="133">
        <f t="shared" si="0"/>
        <v>26</v>
      </c>
      <c r="B37" s="201" t="s">
        <v>618</v>
      </c>
      <c r="C37" s="695"/>
      <c r="D37" s="696"/>
      <c r="E37" s="696"/>
      <c r="F37" s="696"/>
      <c r="G37" s="696"/>
      <c r="H37" s="696"/>
      <c r="I37" s="696"/>
      <c r="J37" s="696"/>
      <c r="K37" s="696"/>
      <c r="L37" s="697"/>
    </row>
    <row r="38" spans="1:12" ht="15">
      <c r="A38" s="133">
        <f t="shared" si="0"/>
        <v>27</v>
      </c>
      <c r="B38" s="201" t="s">
        <v>619</v>
      </c>
      <c r="C38" s="695"/>
      <c r="D38" s="696"/>
      <c r="E38" s="696"/>
      <c r="F38" s="696"/>
      <c r="G38" s="696"/>
      <c r="H38" s="696"/>
      <c r="I38" s="696"/>
      <c r="J38" s="696"/>
      <c r="K38" s="696"/>
      <c r="L38" s="697"/>
    </row>
    <row r="39" spans="1:12" ht="15">
      <c r="A39" s="133">
        <f t="shared" si="0"/>
        <v>28</v>
      </c>
      <c r="B39" s="143" t="s">
        <v>620</v>
      </c>
      <c r="C39" s="695"/>
      <c r="D39" s="696"/>
      <c r="E39" s="696"/>
      <c r="F39" s="696"/>
      <c r="G39" s="696"/>
      <c r="H39" s="696"/>
      <c r="I39" s="696"/>
      <c r="J39" s="696"/>
      <c r="K39" s="696"/>
      <c r="L39" s="697"/>
    </row>
    <row r="40" spans="1:12" ht="15">
      <c r="A40" s="133">
        <f t="shared" si="0"/>
        <v>29</v>
      </c>
      <c r="B40" s="143" t="s">
        <v>621</v>
      </c>
      <c r="C40" s="695"/>
      <c r="D40" s="696"/>
      <c r="E40" s="696"/>
      <c r="F40" s="696"/>
      <c r="G40" s="696"/>
      <c r="H40" s="696"/>
      <c r="I40" s="696"/>
      <c r="J40" s="696"/>
      <c r="K40" s="696"/>
      <c r="L40" s="697"/>
    </row>
    <row r="41" spans="1:12" ht="15">
      <c r="A41" s="133">
        <f t="shared" si="0"/>
        <v>30</v>
      </c>
      <c r="B41" s="143" t="s">
        <v>622</v>
      </c>
      <c r="C41" s="695"/>
      <c r="D41" s="696"/>
      <c r="E41" s="696"/>
      <c r="F41" s="696"/>
      <c r="G41" s="696"/>
      <c r="H41" s="696"/>
      <c r="I41" s="696"/>
      <c r="J41" s="696"/>
      <c r="K41" s="696"/>
      <c r="L41" s="697"/>
    </row>
    <row r="42" spans="1:12" ht="15">
      <c r="A42" s="133">
        <f t="shared" si="0"/>
        <v>31</v>
      </c>
      <c r="B42" s="143" t="s">
        <v>623</v>
      </c>
      <c r="C42" s="695"/>
      <c r="D42" s="696"/>
      <c r="E42" s="696"/>
      <c r="F42" s="696"/>
      <c r="G42" s="696"/>
      <c r="H42" s="696"/>
      <c r="I42" s="696"/>
      <c r="J42" s="696"/>
      <c r="K42" s="696"/>
      <c r="L42" s="697"/>
    </row>
    <row r="43" spans="1:12" ht="12.75">
      <c r="A43" s="150"/>
      <c r="B43" s="150" t="s">
        <v>624</v>
      </c>
      <c r="C43" s="698"/>
      <c r="D43" s="699"/>
      <c r="E43" s="699"/>
      <c r="F43" s="699"/>
      <c r="G43" s="699"/>
      <c r="H43" s="699"/>
      <c r="I43" s="699"/>
      <c r="J43" s="699"/>
      <c r="K43" s="699"/>
      <c r="L43" s="700"/>
    </row>
    <row r="44" spans="1:12" ht="12.75">
      <c r="A44" s="10" t="s">
        <v>357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" t="s">
        <v>356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644"/>
      <c r="B47" s="644"/>
      <c r="C47" s="644"/>
      <c r="D47" s="644"/>
      <c r="E47" s="644"/>
      <c r="F47" s="644"/>
      <c r="G47" s="644"/>
      <c r="H47" s="644"/>
      <c r="I47" s="644"/>
      <c r="J47" s="644"/>
      <c r="K47" s="644"/>
      <c r="L47" s="644"/>
    </row>
    <row r="48" spans="9:12" ht="15.75">
      <c r="I48" s="621" t="s">
        <v>860</v>
      </c>
      <c r="J48" s="621"/>
      <c r="K48" s="621"/>
      <c r="L48" s="621"/>
    </row>
    <row r="49" spans="9:12" ht="15.75">
      <c r="I49" s="621" t="s">
        <v>653</v>
      </c>
      <c r="J49" s="621"/>
      <c r="K49" s="621"/>
      <c r="L49" s="621"/>
    </row>
  </sheetData>
  <sheetProtection/>
  <mergeCells count="15">
    <mergeCell ref="I48:L48"/>
    <mergeCell ref="I49:L49"/>
    <mergeCell ref="A47:L47"/>
    <mergeCell ref="I8:L8"/>
    <mergeCell ref="A9:A10"/>
    <mergeCell ref="B9:B10"/>
    <mergeCell ref="C9:G9"/>
    <mergeCell ref="H9:L9"/>
    <mergeCell ref="C12:L43"/>
    <mergeCell ref="L1:N1"/>
    <mergeCell ref="A2:L2"/>
    <mergeCell ref="A3:L3"/>
    <mergeCell ref="A5:L5"/>
    <mergeCell ref="A7:B7"/>
    <mergeCell ref="F7:L7"/>
  </mergeCells>
  <printOptions horizontalCentered="1"/>
  <pageMargins left="0.47" right="0.4" top="0.42" bottom="0" header="0.31496062992125984" footer="0.31496062992125984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85" zoomScaleNormal="85" zoomScaleSheetLayoutView="85" zoomScalePageLayoutView="0" workbookViewId="0" topLeftCell="B17">
      <selection activeCell="D46" sqref="D46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8.7109375" style="6" customWidth="1"/>
    <col min="4" max="4" width="10.140625" style="6" customWidth="1"/>
    <col min="5" max="5" width="9.28125" style="6" bestFit="1" customWidth="1"/>
    <col min="6" max="7" width="7.28125" style="6" customWidth="1"/>
    <col min="8" max="8" width="8.140625" style="6" customWidth="1"/>
    <col min="9" max="9" width="9.28125" style="6" customWidth="1"/>
    <col min="10" max="10" width="10.7109375" style="6" customWidth="1"/>
    <col min="11" max="11" width="9.00390625" style="6" customWidth="1"/>
    <col min="12" max="12" width="8.7109375" style="6" customWidth="1"/>
    <col min="13" max="13" width="7.8515625" style="6" customWidth="1"/>
    <col min="14" max="14" width="9.28125" style="6" bestFit="1" customWidth="1"/>
    <col min="15" max="15" width="13.7109375" style="6" customWidth="1"/>
    <col min="16" max="16" width="11.8515625" style="6" customWidth="1"/>
    <col min="17" max="17" width="11.7109375" style="6" customWidth="1"/>
    <col min="18" max="18" width="10.57421875" style="6" bestFit="1" customWidth="1"/>
    <col min="19" max="19" width="9.7109375" style="6" bestFit="1" customWidth="1"/>
    <col min="20" max="20" width="9.140625" style="6" customWidth="1"/>
    <col min="21" max="21" width="12.421875" style="6" bestFit="1" customWidth="1"/>
    <col min="22" max="16384" width="9.140625" style="6" customWidth="1"/>
  </cols>
  <sheetData>
    <row r="1" spans="8:21" ht="15">
      <c r="H1" s="21"/>
      <c r="I1" s="21"/>
      <c r="J1" s="21"/>
      <c r="K1" s="21"/>
      <c r="L1" s="21"/>
      <c r="M1" s="21"/>
      <c r="N1" s="21"/>
      <c r="O1" s="21"/>
      <c r="P1" s="641" t="s">
        <v>60</v>
      </c>
      <c r="Q1" s="641"/>
      <c r="T1" s="25"/>
      <c r="U1" s="25"/>
    </row>
    <row r="2" spans="1:21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27"/>
      <c r="S2" s="27"/>
      <c r="T2" s="27"/>
      <c r="U2" s="27"/>
    </row>
    <row r="3" spans="1:21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26"/>
      <c r="S3" s="26"/>
      <c r="T3" s="26"/>
      <c r="U3" s="26"/>
    </row>
    <row r="4" ht="10.5" customHeight="1"/>
    <row r="5" spans="1:17" ht="12.75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2"/>
      <c r="Q5" s="10"/>
    </row>
    <row r="6" spans="1:17" ht="18" customHeight="1">
      <c r="A6" s="652" t="s">
        <v>720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</row>
    <row r="7" ht="9.75" customHeight="1"/>
    <row r="8" ht="0.75" customHeight="1"/>
    <row r="9" spans="1:19" ht="12.75">
      <c r="A9" s="559" t="s">
        <v>665</v>
      </c>
      <c r="B9" s="559"/>
      <c r="Q9" s="19" t="s">
        <v>19</v>
      </c>
      <c r="R9" s="8"/>
      <c r="S9" s="10"/>
    </row>
    <row r="10" spans="1:17" ht="15.75">
      <c r="A10" s="4"/>
      <c r="N10" s="656" t="s">
        <v>750</v>
      </c>
      <c r="O10" s="656"/>
      <c r="P10" s="656"/>
      <c r="Q10" s="656"/>
    </row>
    <row r="11" spans="1:17" ht="28.5" customHeight="1">
      <c r="A11" s="642" t="s">
        <v>2</v>
      </c>
      <c r="B11" s="642" t="s">
        <v>3</v>
      </c>
      <c r="C11" s="530" t="s">
        <v>721</v>
      </c>
      <c r="D11" s="530"/>
      <c r="E11" s="530"/>
      <c r="F11" s="530" t="s">
        <v>779</v>
      </c>
      <c r="G11" s="530"/>
      <c r="H11" s="530"/>
      <c r="I11" s="701" t="s">
        <v>361</v>
      </c>
      <c r="J11" s="702"/>
      <c r="K11" s="703"/>
      <c r="L11" s="701" t="s">
        <v>87</v>
      </c>
      <c r="M11" s="702"/>
      <c r="N11" s="703"/>
      <c r="O11" s="704" t="s">
        <v>780</v>
      </c>
      <c r="P11" s="705"/>
      <c r="Q11" s="706"/>
    </row>
    <row r="12" spans="1:17" ht="39.75" customHeight="1">
      <c r="A12" s="643"/>
      <c r="B12" s="643"/>
      <c r="C12" s="1" t="s">
        <v>107</v>
      </c>
      <c r="D12" s="1" t="s">
        <v>582</v>
      </c>
      <c r="E12" s="24" t="s">
        <v>16</v>
      </c>
      <c r="F12" s="1" t="s">
        <v>107</v>
      </c>
      <c r="G12" s="1" t="s">
        <v>583</v>
      </c>
      <c r="H12" s="24" t="s">
        <v>16</v>
      </c>
      <c r="I12" s="1" t="s">
        <v>107</v>
      </c>
      <c r="J12" s="1" t="s">
        <v>583</v>
      </c>
      <c r="K12" s="24" t="s">
        <v>16</v>
      </c>
      <c r="L12" s="1" t="s">
        <v>107</v>
      </c>
      <c r="M12" s="1" t="s">
        <v>583</v>
      </c>
      <c r="N12" s="24" t="s">
        <v>16</v>
      </c>
      <c r="O12" s="1" t="s">
        <v>229</v>
      </c>
      <c r="P12" s="1" t="s">
        <v>584</v>
      </c>
      <c r="Q12" s="1" t="s">
        <v>108</v>
      </c>
    </row>
    <row r="13" spans="1:21" s="33" customFormat="1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U13" s="5"/>
    </row>
    <row r="14" spans="1:21" s="33" customFormat="1" ht="15">
      <c r="A14" s="133">
        <v>1</v>
      </c>
      <c r="B14" s="201" t="s">
        <v>633</v>
      </c>
      <c r="C14" s="295">
        <v>210.93308402056726</v>
      </c>
      <c r="D14" s="295">
        <v>315.14</v>
      </c>
      <c r="E14" s="295">
        <f>SUM(C14:D14)</f>
        <v>526.0730840205672</v>
      </c>
      <c r="F14" s="295">
        <v>30.586402473478998</v>
      </c>
      <c r="G14" s="295">
        <v>19.524835354830476</v>
      </c>
      <c r="H14" s="295">
        <f>SUM(F14:G14)</f>
        <v>50.11123782830947</v>
      </c>
      <c r="I14" s="295">
        <v>222.11626774246233</v>
      </c>
      <c r="J14" s="295">
        <v>309.7346203896818</v>
      </c>
      <c r="K14" s="295">
        <f>SUM(I14:J14)</f>
        <v>531.8508881321442</v>
      </c>
      <c r="L14" s="295">
        <v>205.98012</v>
      </c>
      <c r="M14" s="295">
        <v>303.156225</v>
      </c>
      <c r="N14" s="295">
        <f>SUM(L14:M14)</f>
        <v>509.136345</v>
      </c>
      <c r="O14" s="295">
        <f>F14+I14-L14</f>
        <v>46.72255021594134</v>
      </c>
      <c r="P14" s="295">
        <f>G14+J14-M14</f>
        <v>26.103230744512302</v>
      </c>
      <c r="Q14" s="295">
        <f>H14+K14-N14</f>
        <v>72.8257809604537</v>
      </c>
      <c r="R14" s="367"/>
      <c r="S14" s="347"/>
      <c r="T14" s="347"/>
      <c r="U14" s="5"/>
    </row>
    <row r="15" spans="1:21" s="33" customFormat="1" ht="15">
      <c r="A15" s="133">
        <f>A14+1</f>
        <v>2</v>
      </c>
      <c r="B15" s="201" t="s">
        <v>598</v>
      </c>
      <c r="C15" s="295">
        <v>221.87001642603312</v>
      </c>
      <c r="D15" s="295">
        <v>330.09</v>
      </c>
      <c r="E15" s="295">
        <f aca="true" t="shared" si="0" ref="E15:E44">SUM(C15:D15)</f>
        <v>551.9600164260331</v>
      </c>
      <c r="F15" s="295">
        <v>32.172314981856275</v>
      </c>
      <c r="G15" s="295">
        <v>20.53720288122007</v>
      </c>
      <c r="H15" s="295">
        <f aca="true" t="shared" si="1" ref="H15:H44">SUM(F15:G15)</f>
        <v>52.70951786307634</v>
      </c>
      <c r="I15" s="295">
        <v>233.63305098077498</v>
      </c>
      <c r="J15" s="295">
        <v>325.79443681233585</v>
      </c>
      <c r="K15" s="295">
        <f aca="true" t="shared" si="2" ref="K15:K44">SUM(I15:J15)</f>
        <v>559.4274877931108</v>
      </c>
      <c r="L15" s="295">
        <v>216.66024</v>
      </c>
      <c r="M15" s="295">
        <v>318.87494999999996</v>
      </c>
      <c r="N15" s="295">
        <f aca="true" t="shared" si="3" ref="N15:N44">SUM(L15:M15)</f>
        <v>535.53519</v>
      </c>
      <c r="O15" s="295">
        <f aca="true" t="shared" si="4" ref="O15:O44">F15+I15-L15</f>
        <v>49.145125962631255</v>
      </c>
      <c r="P15" s="295">
        <f aca="true" t="shared" si="5" ref="P15:P44">G15+J15-M15</f>
        <v>27.456689693555973</v>
      </c>
      <c r="Q15" s="295">
        <f aca="true" t="shared" si="6" ref="Q15:Q44">H15+K15-N15</f>
        <v>76.60181565618723</v>
      </c>
      <c r="R15" s="367"/>
      <c r="S15" s="347"/>
      <c r="T15" s="347"/>
      <c r="U15" s="5"/>
    </row>
    <row r="16" spans="1:20" s="33" customFormat="1" ht="15">
      <c r="A16" s="133">
        <f aca="true" t="shared" si="7" ref="A16:A44">A15+1</f>
        <v>3</v>
      </c>
      <c r="B16" s="201" t="s">
        <v>634</v>
      </c>
      <c r="C16" s="295">
        <v>416.7405523840275</v>
      </c>
      <c r="D16" s="295">
        <v>656.47</v>
      </c>
      <c r="E16" s="295">
        <f t="shared" si="0"/>
        <v>1073.2105523840276</v>
      </c>
      <c r="F16" s="295">
        <v>60.429563818423816</v>
      </c>
      <c r="G16" s="295">
        <v>38.57522260560062</v>
      </c>
      <c r="H16" s="295">
        <f t="shared" si="1"/>
        <v>99.00478642402445</v>
      </c>
      <c r="I16" s="295">
        <v>438.8351715534897</v>
      </c>
      <c r="J16" s="295">
        <v>611.942775089123</v>
      </c>
      <c r="K16" s="295">
        <f>SUM(I16:J16)</f>
        <v>1050.7779466426127</v>
      </c>
      <c r="L16" s="295">
        <v>406.95498</v>
      </c>
      <c r="M16" s="295">
        <v>598.9458374999999</v>
      </c>
      <c r="N16" s="295">
        <f t="shared" si="3"/>
        <v>1005.9008174999999</v>
      </c>
      <c r="O16" s="295">
        <f t="shared" si="4"/>
        <v>92.30975537191352</v>
      </c>
      <c r="P16" s="295">
        <f t="shared" si="5"/>
        <v>51.572160194723665</v>
      </c>
      <c r="Q16" s="295">
        <f t="shared" si="6"/>
        <v>143.8819155666372</v>
      </c>
      <c r="R16" s="367"/>
      <c r="S16" s="347"/>
      <c r="T16" s="347"/>
    </row>
    <row r="17" spans="1:20" s="33" customFormat="1" ht="15">
      <c r="A17" s="133">
        <f t="shared" si="7"/>
        <v>4</v>
      </c>
      <c r="B17" s="201" t="s">
        <v>599</v>
      </c>
      <c r="C17" s="295">
        <v>144.3915072903428</v>
      </c>
      <c r="D17" s="295">
        <v>218.85</v>
      </c>
      <c r="E17" s="295">
        <f t="shared" si="0"/>
        <v>363.2415072903428</v>
      </c>
      <c r="F17" s="295">
        <v>20.937525169375867</v>
      </c>
      <c r="G17" s="295">
        <v>13.365472844482072</v>
      </c>
      <c r="H17" s="295">
        <f t="shared" si="1"/>
        <v>34.30299801385794</v>
      </c>
      <c r="I17" s="295">
        <v>152.04681068386736</v>
      </c>
      <c r="J17" s="295">
        <v>212.02481775550928</v>
      </c>
      <c r="K17" s="295">
        <f t="shared" si="2"/>
        <v>364.07162843937664</v>
      </c>
      <c r="L17" s="295">
        <v>141.00102</v>
      </c>
      <c r="M17" s="295">
        <v>207.52166249999996</v>
      </c>
      <c r="N17" s="295">
        <f t="shared" si="3"/>
        <v>348.5226825</v>
      </c>
      <c r="O17" s="295">
        <f t="shared" si="4"/>
        <v>31.983315853243226</v>
      </c>
      <c r="P17" s="295">
        <f t="shared" si="5"/>
        <v>17.868628099991383</v>
      </c>
      <c r="Q17" s="295">
        <f t="shared" si="6"/>
        <v>49.85194395323458</v>
      </c>
      <c r="R17" s="367"/>
      <c r="S17" s="347"/>
      <c r="T17" s="347"/>
    </row>
    <row r="18" spans="1:20" s="33" customFormat="1" ht="15">
      <c r="A18" s="133">
        <f t="shared" si="7"/>
        <v>5</v>
      </c>
      <c r="B18" s="201" t="s">
        <v>600</v>
      </c>
      <c r="C18" s="295">
        <v>90.99824898487115</v>
      </c>
      <c r="D18" s="295">
        <v>136.18</v>
      </c>
      <c r="E18" s="295">
        <f t="shared" si="0"/>
        <v>227.17824898487117</v>
      </c>
      <c r="F18" s="295">
        <v>13.195222934121283</v>
      </c>
      <c r="G18" s="295">
        <v>8.4231728619406</v>
      </c>
      <c r="H18" s="295">
        <f t="shared" si="1"/>
        <v>21.618395796061883</v>
      </c>
      <c r="I18" s="295">
        <v>95.8227654493881</v>
      </c>
      <c r="J18" s="295">
        <v>133.62203580499764</v>
      </c>
      <c r="K18" s="295">
        <f t="shared" si="2"/>
        <v>229.44480125438574</v>
      </c>
      <c r="L18" s="295">
        <v>88.8615</v>
      </c>
      <c r="M18" s="295">
        <v>130.7840625</v>
      </c>
      <c r="N18" s="295">
        <f t="shared" si="3"/>
        <v>219.6455625</v>
      </c>
      <c r="O18" s="295">
        <f t="shared" si="4"/>
        <v>20.156488383509384</v>
      </c>
      <c r="P18" s="295">
        <f t="shared" si="5"/>
        <v>11.261146166938232</v>
      </c>
      <c r="Q18" s="295">
        <f t="shared" si="6"/>
        <v>31.417634550447616</v>
      </c>
      <c r="R18" s="367"/>
      <c r="S18" s="347"/>
      <c r="T18" s="347"/>
    </row>
    <row r="19" spans="1:20" s="33" customFormat="1" ht="15">
      <c r="A19" s="133">
        <f t="shared" si="7"/>
        <v>6</v>
      </c>
      <c r="B19" s="201" t="s">
        <v>601</v>
      </c>
      <c r="C19" s="295">
        <v>125.79186519013838</v>
      </c>
      <c r="D19" s="295">
        <v>183.73</v>
      </c>
      <c r="E19" s="295">
        <f t="shared" si="0"/>
        <v>309.5218651901384</v>
      </c>
      <c r="F19" s="295">
        <v>18.24047960262141</v>
      </c>
      <c r="G19" s="295">
        <v>11.643813336437072</v>
      </c>
      <c r="H19" s="295">
        <f t="shared" si="1"/>
        <v>29.884292939058483</v>
      </c>
      <c r="I19" s="295">
        <v>132.46105862498146</v>
      </c>
      <c r="J19" s="295">
        <v>184.7130609865757</v>
      </c>
      <c r="K19" s="295">
        <f t="shared" si="2"/>
        <v>317.17411961155716</v>
      </c>
      <c r="L19" s="295">
        <v>122.83812</v>
      </c>
      <c r="M19" s="295">
        <v>180.78997499999997</v>
      </c>
      <c r="N19" s="295">
        <f t="shared" si="3"/>
        <v>303.628095</v>
      </c>
      <c r="O19" s="295">
        <f t="shared" si="4"/>
        <v>27.863418227602864</v>
      </c>
      <c r="P19" s="295">
        <f t="shared" si="5"/>
        <v>15.566899323012791</v>
      </c>
      <c r="Q19" s="295">
        <f t="shared" si="6"/>
        <v>43.430317550615655</v>
      </c>
      <c r="R19" s="367"/>
      <c r="S19" s="347"/>
      <c r="T19" s="347"/>
    </row>
    <row r="20" spans="1:20" s="33" customFormat="1" ht="15">
      <c r="A20" s="133">
        <f t="shared" si="7"/>
        <v>7</v>
      </c>
      <c r="B20" s="201" t="s">
        <v>602</v>
      </c>
      <c r="C20" s="295">
        <v>188.44780240326943</v>
      </c>
      <c r="D20" s="295">
        <v>287.41</v>
      </c>
      <c r="E20" s="295">
        <f t="shared" si="0"/>
        <v>475.8578024032695</v>
      </c>
      <c r="F20" s="295">
        <v>27.32591881597399</v>
      </c>
      <c r="G20" s="295">
        <v>17.443505043261478</v>
      </c>
      <c r="H20" s="295">
        <f t="shared" si="1"/>
        <v>44.76942385923547</v>
      </c>
      <c r="I20" s="295">
        <v>198.4388685560672</v>
      </c>
      <c r="J20" s="295">
        <v>276.71718171510315</v>
      </c>
      <c r="K20" s="295">
        <f t="shared" si="2"/>
        <v>475.15605027117033</v>
      </c>
      <c r="L20" s="295">
        <v>184.02282</v>
      </c>
      <c r="M20" s="295">
        <v>270.84003749999994</v>
      </c>
      <c r="N20" s="295">
        <f t="shared" si="3"/>
        <v>454.8628574999999</v>
      </c>
      <c r="O20" s="295">
        <f t="shared" si="4"/>
        <v>41.74196737204119</v>
      </c>
      <c r="P20" s="295">
        <f t="shared" si="5"/>
        <v>23.32064925836471</v>
      </c>
      <c r="Q20" s="295">
        <f t="shared" si="6"/>
        <v>65.06261663040584</v>
      </c>
      <c r="R20" s="367"/>
      <c r="S20" s="347"/>
      <c r="T20" s="347"/>
    </row>
    <row r="21" spans="1:20" s="33" customFormat="1" ht="15">
      <c r="A21" s="133">
        <f t="shared" si="7"/>
        <v>8</v>
      </c>
      <c r="B21" s="201" t="s">
        <v>603</v>
      </c>
      <c r="C21" s="295">
        <v>236.31545274840383</v>
      </c>
      <c r="D21" s="295">
        <v>350.91</v>
      </c>
      <c r="E21" s="295">
        <f t="shared" si="0"/>
        <v>587.2254527484039</v>
      </c>
      <c r="F21" s="295">
        <v>34.2669789427642</v>
      </c>
      <c r="G21" s="295">
        <v>21.87433198608574</v>
      </c>
      <c r="H21" s="295">
        <f t="shared" si="1"/>
        <v>56.14131092884993</v>
      </c>
      <c r="I21" s="295">
        <v>248.84435089010327</v>
      </c>
      <c r="J21" s="295">
        <v>347.00614836744</v>
      </c>
      <c r="K21" s="295">
        <f t="shared" si="2"/>
        <v>595.8504992575433</v>
      </c>
      <c r="L21" s="295">
        <v>230.76648</v>
      </c>
      <c r="M21" s="295">
        <v>339.63615</v>
      </c>
      <c r="N21" s="295">
        <f t="shared" si="3"/>
        <v>570.40263</v>
      </c>
      <c r="O21" s="295">
        <f t="shared" si="4"/>
        <v>52.34484983286745</v>
      </c>
      <c r="P21" s="295">
        <f t="shared" si="5"/>
        <v>29.244330353525754</v>
      </c>
      <c r="Q21" s="295">
        <f t="shared" si="6"/>
        <v>81.58918018639326</v>
      </c>
      <c r="R21" s="367"/>
      <c r="S21" s="347"/>
      <c r="T21" s="347"/>
    </row>
    <row r="22" spans="1:20" s="33" customFormat="1" ht="15">
      <c r="A22" s="133">
        <f t="shared" si="7"/>
        <v>9</v>
      </c>
      <c r="B22" s="201" t="s">
        <v>604</v>
      </c>
      <c r="C22" s="295">
        <v>102.52374149366142</v>
      </c>
      <c r="D22" s="295">
        <v>153.31</v>
      </c>
      <c r="E22" s="295">
        <f t="shared" si="0"/>
        <v>255.83374149366142</v>
      </c>
      <c r="F22" s="295">
        <v>14.866479741538715</v>
      </c>
      <c r="G22" s="295">
        <v>9.490019936511036</v>
      </c>
      <c r="H22" s="295">
        <f t="shared" si="1"/>
        <v>24.35649967804975</v>
      </c>
      <c r="I22" s="295">
        <v>107.9593128849558</v>
      </c>
      <c r="J22" s="295">
        <v>150.5460952221832</v>
      </c>
      <c r="K22" s="295">
        <f t="shared" si="2"/>
        <v>258.50540810713903</v>
      </c>
      <c r="L22" s="295">
        <v>100.11636</v>
      </c>
      <c r="M22" s="295">
        <v>147.348675</v>
      </c>
      <c r="N22" s="295">
        <f t="shared" si="3"/>
        <v>247.465035</v>
      </c>
      <c r="O22" s="295">
        <f t="shared" si="4"/>
        <v>22.709432626494518</v>
      </c>
      <c r="P22" s="295">
        <f t="shared" si="5"/>
        <v>12.687440158694244</v>
      </c>
      <c r="Q22" s="295">
        <f t="shared" si="6"/>
        <v>35.396872785188805</v>
      </c>
      <c r="R22" s="367"/>
      <c r="S22" s="347"/>
      <c r="T22" s="347"/>
    </row>
    <row r="23" spans="1:20" s="33" customFormat="1" ht="15">
      <c r="A23" s="133">
        <f t="shared" si="7"/>
        <v>10</v>
      </c>
      <c r="B23" s="201" t="s">
        <v>605</v>
      </c>
      <c r="C23" s="295">
        <v>242.22391048468998</v>
      </c>
      <c r="D23" s="295">
        <v>361.84</v>
      </c>
      <c r="E23" s="295">
        <f t="shared" si="0"/>
        <v>604.0639104846899</v>
      </c>
      <c r="F23" s="295">
        <v>35.12373627487605</v>
      </c>
      <c r="G23" s="295">
        <v>22.421243178503108</v>
      </c>
      <c r="H23" s="295">
        <f t="shared" si="1"/>
        <v>57.544979453379156</v>
      </c>
      <c r="I23" s="295">
        <v>255.06606137516874</v>
      </c>
      <c r="J23" s="295">
        <v>355.6821411474945</v>
      </c>
      <c r="K23" s="295">
        <f t="shared" si="2"/>
        <v>610.7482025226633</v>
      </c>
      <c r="L23" s="295">
        <v>236.5362</v>
      </c>
      <c r="M23" s="295">
        <v>348.127875</v>
      </c>
      <c r="N23" s="295">
        <f t="shared" si="3"/>
        <v>584.664075</v>
      </c>
      <c r="O23" s="295">
        <f t="shared" si="4"/>
        <v>53.65359765004479</v>
      </c>
      <c r="P23" s="295">
        <f t="shared" si="5"/>
        <v>29.97550932599762</v>
      </c>
      <c r="Q23" s="295">
        <f t="shared" si="6"/>
        <v>83.62910697604241</v>
      </c>
      <c r="R23" s="367"/>
      <c r="S23" s="347"/>
      <c r="T23" s="347"/>
    </row>
    <row r="24" spans="1:20" s="33" customFormat="1" ht="15">
      <c r="A24" s="133">
        <f t="shared" si="7"/>
        <v>11</v>
      </c>
      <c r="B24" s="201" t="s">
        <v>635</v>
      </c>
      <c r="C24" s="295">
        <v>162.48830192362925</v>
      </c>
      <c r="D24" s="295">
        <v>245.73</v>
      </c>
      <c r="E24" s="295">
        <f t="shared" si="0"/>
        <v>408.21830192362927</v>
      </c>
      <c r="F24" s="295">
        <v>23.561655218503784</v>
      </c>
      <c r="G24" s="295">
        <v>15.040586719129852</v>
      </c>
      <c r="H24" s="295">
        <f t="shared" si="1"/>
        <v>38.602241937633636</v>
      </c>
      <c r="I24" s="295">
        <v>171.1030554674286</v>
      </c>
      <c r="J24" s="295">
        <v>238.59819216018292</v>
      </c>
      <c r="K24" s="295">
        <f t="shared" si="2"/>
        <v>409.7012476276115</v>
      </c>
      <c r="L24" s="295">
        <v>158.67288</v>
      </c>
      <c r="M24" s="295">
        <v>233.53065</v>
      </c>
      <c r="N24" s="295">
        <f t="shared" si="3"/>
        <v>392.20353</v>
      </c>
      <c r="O24" s="295">
        <f t="shared" si="4"/>
        <v>35.99183068593237</v>
      </c>
      <c r="P24" s="295">
        <f t="shared" si="5"/>
        <v>20.108128879312773</v>
      </c>
      <c r="Q24" s="295">
        <f t="shared" si="6"/>
        <v>56.09995956524517</v>
      </c>
      <c r="R24" s="367"/>
      <c r="S24" s="347"/>
      <c r="T24" s="347"/>
    </row>
    <row r="25" spans="1:20" s="33" customFormat="1" ht="15">
      <c r="A25" s="133">
        <f t="shared" si="7"/>
        <v>12</v>
      </c>
      <c r="B25" s="201" t="s">
        <v>606</v>
      </c>
      <c r="C25" s="295">
        <v>145.64291178187727</v>
      </c>
      <c r="D25" s="295">
        <v>227.15</v>
      </c>
      <c r="E25" s="295">
        <f t="shared" si="0"/>
        <v>372.79291178187725</v>
      </c>
      <c r="F25" s="295">
        <v>21.118985378014646</v>
      </c>
      <c r="G25" s="295">
        <v>13.481308000322889</v>
      </c>
      <c r="H25" s="295">
        <f t="shared" si="1"/>
        <v>34.60029337833753</v>
      </c>
      <c r="I25" s="295">
        <v>153.3645617440505</v>
      </c>
      <c r="J25" s="295">
        <v>213.8623829574744</v>
      </c>
      <c r="K25" s="295">
        <f t="shared" si="2"/>
        <v>367.22694470152487</v>
      </c>
      <c r="L25" s="295">
        <v>142.22304</v>
      </c>
      <c r="M25" s="295">
        <v>209.3202</v>
      </c>
      <c r="N25" s="295">
        <f t="shared" si="3"/>
        <v>351.54323999999997</v>
      </c>
      <c r="O25" s="295">
        <f t="shared" si="4"/>
        <v>32.26050712206515</v>
      </c>
      <c r="P25" s="295">
        <f t="shared" si="5"/>
        <v>18.023490957797293</v>
      </c>
      <c r="Q25" s="295">
        <f t="shared" si="6"/>
        <v>50.28399807986244</v>
      </c>
      <c r="R25" s="367"/>
      <c r="S25" s="347"/>
      <c r="T25" s="347"/>
    </row>
    <row r="26" spans="1:20" s="33" customFormat="1" ht="15">
      <c r="A26" s="133">
        <f t="shared" si="7"/>
        <v>13</v>
      </c>
      <c r="B26" s="201" t="s">
        <v>607</v>
      </c>
      <c r="C26" s="295">
        <v>404.0665105473905</v>
      </c>
      <c r="D26" s="295">
        <v>598.2</v>
      </c>
      <c r="E26" s="295">
        <f t="shared" si="0"/>
        <v>1002.2665105473906</v>
      </c>
      <c r="F26" s="295">
        <v>58.59176134006394</v>
      </c>
      <c r="G26" s="295">
        <v>37.40206107292971</v>
      </c>
      <c r="H26" s="295">
        <f t="shared" si="1"/>
        <v>95.99382241299365</v>
      </c>
      <c r="I26" s="295">
        <v>425.4891813640553</v>
      </c>
      <c r="J26" s="295">
        <v>593.3321832262982</v>
      </c>
      <c r="K26" s="295">
        <f t="shared" si="2"/>
        <v>1018.8213645903535</v>
      </c>
      <c r="L26" s="295">
        <v>394.57854</v>
      </c>
      <c r="M26" s="295">
        <v>580.7305124999999</v>
      </c>
      <c r="N26" s="295">
        <f t="shared" si="3"/>
        <v>975.3090524999999</v>
      </c>
      <c r="O26" s="295">
        <f t="shared" si="4"/>
        <v>89.50240270411928</v>
      </c>
      <c r="P26" s="295">
        <f t="shared" si="5"/>
        <v>50.00373179922792</v>
      </c>
      <c r="Q26" s="295">
        <f t="shared" si="6"/>
        <v>139.5061345033472</v>
      </c>
      <c r="R26" s="367"/>
      <c r="S26" s="347"/>
      <c r="T26" s="347"/>
    </row>
    <row r="27" spans="1:20" s="33" customFormat="1" ht="15">
      <c r="A27" s="133">
        <f t="shared" si="7"/>
        <v>14</v>
      </c>
      <c r="B27" s="201" t="s">
        <v>636</v>
      </c>
      <c r="C27" s="295">
        <v>117.36345594350196</v>
      </c>
      <c r="D27" s="295">
        <v>178.18</v>
      </c>
      <c r="E27" s="295">
        <f t="shared" si="0"/>
        <v>295.54345594350195</v>
      </c>
      <c r="F27" s="295">
        <v>17.018316096949263</v>
      </c>
      <c r="G27" s="295">
        <v>10.863645049381349</v>
      </c>
      <c r="H27" s="295">
        <f t="shared" si="1"/>
        <v>27.88196114633061</v>
      </c>
      <c r="I27" s="295">
        <v>123.58579463516372</v>
      </c>
      <c r="J27" s="295">
        <v>172.3367656765367</v>
      </c>
      <c r="K27" s="295">
        <f t="shared" si="2"/>
        <v>295.9225603117004</v>
      </c>
      <c r="L27" s="295">
        <v>114.60762</v>
      </c>
      <c r="M27" s="295">
        <v>168.67653749999997</v>
      </c>
      <c r="N27" s="295">
        <f t="shared" si="3"/>
        <v>283.2841575</v>
      </c>
      <c r="O27" s="295">
        <f t="shared" si="4"/>
        <v>25.99649073211299</v>
      </c>
      <c r="P27" s="295">
        <f t="shared" si="5"/>
        <v>14.523873225918067</v>
      </c>
      <c r="Q27" s="295">
        <f t="shared" si="6"/>
        <v>40.520363958031</v>
      </c>
      <c r="R27" s="367"/>
      <c r="S27" s="347"/>
      <c r="T27" s="347"/>
    </row>
    <row r="28" spans="1:20" s="33" customFormat="1" ht="15">
      <c r="A28" s="133">
        <f t="shared" si="7"/>
        <v>15</v>
      </c>
      <c r="B28" s="201" t="s">
        <v>608</v>
      </c>
      <c r="C28" s="295">
        <v>209.84739062608529</v>
      </c>
      <c r="D28" s="295">
        <v>320.72</v>
      </c>
      <c r="E28" s="295">
        <f t="shared" si="0"/>
        <v>530.5673906260853</v>
      </c>
      <c r="F28" s="295">
        <v>30.42897124223987</v>
      </c>
      <c r="G28" s="295">
        <v>19.42433910090465</v>
      </c>
      <c r="H28" s="295">
        <f t="shared" si="1"/>
        <v>49.85331034314452</v>
      </c>
      <c r="I28" s="295">
        <v>220.97301339801123</v>
      </c>
      <c r="J28" s="295">
        <v>308.1403857395751</v>
      </c>
      <c r="K28" s="295">
        <f t="shared" si="2"/>
        <v>529.1133991375864</v>
      </c>
      <c r="L28" s="295">
        <v>204.91992</v>
      </c>
      <c r="M28" s="295">
        <v>301.59585</v>
      </c>
      <c r="N28" s="295">
        <f t="shared" si="3"/>
        <v>506.51577</v>
      </c>
      <c r="O28" s="295">
        <f t="shared" si="4"/>
        <v>46.48206464025111</v>
      </c>
      <c r="P28" s="295">
        <f t="shared" si="5"/>
        <v>25.96887484047977</v>
      </c>
      <c r="Q28" s="295">
        <f t="shared" si="6"/>
        <v>72.45093948073088</v>
      </c>
      <c r="R28" s="367"/>
      <c r="S28" s="347"/>
      <c r="T28" s="347"/>
    </row>
    <row r="29" spans="1:20" s="33" customFormat="1" ht="15">
      <c r="A29" s="133">
        <f t="shared" si="7"/>
        <v>16</v>
      </c>
      <c r="B29" s="201" t="s">
        <v>609</v>
      </c>
      <c r="C29" s="295">
        <v>212.58448081533197</v>
      </c>
      <c r="D29" s="295">
        <v>329.77</v>
      </c>
      <c r="E29" s="295">
        <f t="shared" si="0"/>
        <v>542.354480815332</v>
      </c>
      <c r="F29" s="295">
        <v>30.82586366204798</v>
      </c>
      <c r="G29" s="295">
        <v>19.677695446328173</v>
      </c>
      <c r="H29" s="295">
        <f t="shared" si="1"/>
        <v>50.50355910837615</v>
      </c>
      <c r="I29" s="295">
        <v>223.85521777165374</v>
      </c>
      <c r="J29" s="295">
        <v>312.159535199581</v>
      </c>
      <c r="K29" s="295">
        <f t="shared" si="2"/>
        <v>536.0147529712348</v>
      </c>
      <c r="L29" s="295">
        <v>207.59274</v>
      </c>
      <c r="M29" s="295">
        <v>305.5296375</v>
      </c>
      <c r="N29" s="295">
        <f t="shared" si="3"/>
        <v>513.1223775</v>
      </c>
      <c r="O29" s="295">
        <f t="shared" si="4"/>
        <v>47.088341433701714</v>
      </c>
      <c r="P29" s="295">
        <f t="shared" si="5"/>
        <v>26.30759314590921</v>
      </c>
      <c r="Q29" s="295">
        <f t="shared" si="6"/>
        <v>73.39593457961098</v>
      </c>
      <c r="R29" s="367"/>
      <c r="S29" s="347"/>
      <c r="T29" s="347"/>
    </row>
    <row r="30" spans="1:20" ht="15">
      <c r="A30" s="133">
        <f t="shared" si="7"/>
        <v>17</v>
      </c>
      <c r="B30" s="201" t="s">
        <v>610</v>
      </c>
      <c r="C30" s="295">
        <v>174.8994916752864</v>
      </c>
      <c r="D30" s="295">
        <v>275.84</v>
      </c>
      <c r="E30" s="295">
        <f t="shared" si="0"/>
        <v>450.7394916752864</v>
      </c>
      <c r="F30" s="295">
        <v>25.36134276719524</v>
      </c>
      <c r="G30" s="295">
        <v>16.189417579797666</v>
      </c>
      <c r="H30" s="295">
        <f t="shared" si="1"/>
        <v>41.5507603469929</v>
      </c>
      <c r="I30" s="295">
        <v>184.17225776294325</v>
      </c>
      <c r="J30" s="295">
        <v>256.82281142350814</v>
      </c>
      <c r="K30" s="295">
        <f t="shared" si="2"/>
        <v>440.99506918645136</v>
      </c>
      <c r="L30" s="295">
        <v>170.79264</v>
      </c>
      <c r="M30" s="295">
        <v>251.3682</v>
      </c>
      <c r="N30" s="295">
        <f t="shared" si="3"/>
        <v>422.16084</v>
      </c>
      <c r="O30" s="295">
        <f t="shared" si="4"/>
        <v>38.740960530138466</v>
      </c>
      <c r="P30" s="295">
        <f t="shared" si="5"/>
        <v>21.644029003305832</v>
      </c>
      <c r="Q30" s="295">
        <f t="shared" si="6"/>
        <v>60.38498953344424</v>
      </c>
      <c r="R30" s="367"/>
      <c r="S30" s="347"/>
      <c r="T30" s="347"/>
    </row>
    <row r="31" spans="1:20" ht="15">
      <c r="A31" s="133">
        <f t="shared" si="7"/>
        <v>18</v>
      </c>
      <c r="B31" s="201" t="s">
        <v>611</v>
      </c>
      <c r="C31" s="295">
        <v>277.4860891023126</v>
      </c>
      <c r="D31" s="295">
        <v>418.19</v>
      </c>
      <c r="E31" s="295">
        <f t="shared" si="0"/>
        <v>695.6760891023125</v>
      </c>
      <c r="F31" s="295">
        <v>40.236936948437275</v>
      </c>
      <c r="G31" s="295">
        <v>25.685255720483358</v>
      </c>
      <c r="H31" s="295">
        <f t="shared" si="1"/>
        <v>65.92219266892063</v>
      </c>
      <c r="I31" s="295">
        <v>292.19775905731467</v>
      </c>
      <c r="J31" s="295">
        <v>407.46120444122386</v>
      </c>
      <c r="K31" s="295">
        <f t="shared" si="2"/>
        <v>699.6589634985385</v>
      </c>
      <c r="L31" s="295">
        <v>270.97038</v>
      </c>
      <c r="M31" s="295">
        <v>398.8072125</v>
      </c>
      <c r="N31" s="295">
        <f t="shared" si="3"/>
        <v>669.7775925</v>
      </c>
      <c r="O31" s="295">
        <f t="shared" si="4"/>
        <v>61.46431600575198</v>
      </c>
      <c r="P31" s="295">
        <f t="shared" si="5"/>
        <v>34.33924766170725</v>
      </c>
      <c r="Q31" s="295">
        <f t="shared" si="6"/>
        <v>95.80356366745912</v>
      </c>
      <c r="R31" s="367"/>
      <c r="S31" s="347"/>
      <c r="T31" s="347"/>
    </row>
    <row r="32" spans="1:20" ht="15">
      <c r="A32" s="133">
        <f t="shared" si="7"/>
        <v>19</v>
      </c>
      <c r="B32" s="201" t="s">
        <v>637</v>
      </c>
      <c r="C32" s="295">
        <v>146.35146957617079</v>
      </c>
      <c r="D32" s="295">
        <v>223.44</v>
      </c>
      <c r="E32" s="295">
        <f t="shared" si="0"/>
        <v>369.7914695761708</v>
      </c>
      <c r="F32" s="295">
        <v>21.221729971033866</v>
      </c>
      <c r="G32" s="295">
        <v>13.546895029200792</v>
      </c>
      <c r="H32" s="295">
        <f t="shared" si="1"/>
        <v>34.76862500023466</v>
      </c>
      <c r="I32" s="295">
        <v>154.11068563200803</v>
      </c>
      <c r="J32" s="295">
        <v>214.90283083438615</v>
      </c>
      <c r="K32" s="295">
        <f t="shared" si="2"/>
        <v>369.0135164663942</v>
      </c>
      <c r="L32" s="295">
        <v>142.91496</v>
      </c>
      <c r="M32" s="295">
        <v>210.33855</v>
      </c>
      <c r="N32" s="295">
        <f t="shared" si="3"/>
        <v>353.25351</v>
      </c>
      <c r="O32" s="295">
        <f t="shared" si="4"/>
        <v>32.4174556030419</v>
      </c>
      <c r="P32" s="295">
        <f t="shared" si="5"/>
        <v>18.111175863586936</v>
      </c>
      <c r="Q32" s="295">
        <f t="shared" si="6"/>
        <v>50.52863146662884</v>
      </c>
      <c r="R32" s="367"/>
      <c r="S32" s="347"/>
      <c r="T32" s="347"/>
    </row>
    <row r="33" spans="1:20" ht="15">
      <c r="A33" s="133">
        <f t="shared" si="7"/>
        <v>20</v>
      </c>
      <c r="B33" s="201" t="s">
        <v>612</v>
      </c>
      <c r="C33" s="295">
        <v>285.32593824562457</v>
      </c>
      <c r="D33" s="295">
        <v>424.68</v>
      </c>
      <c r="E33" s="295">
        <f t="shared" si="0"/>
        <v>710.0059382456245</v>
      </c>
      <c r="F33" s="295">
        <v>41.37375615506926</v>
      </c>
      <c r="G33" s="295">
        <v>26.410944459358237</v>
      </c>
      <c r="H33" s="295">
        <f t="shared" si="1"/>
        <v>67.78470061442749</v>
      </c>
      <c r="I33" s="295">
        <v>300.45325884987733</v>
      </c>
      <c r="J33" s="295">
        <v>418.97325675673136</v>
      </c>
      <c r="K33" s="295">
        <f t="shared" si="2"/>
        <v>719.4265156066087</v>
      </c>
      <c r="L33" s="295">
        <v>278.62614</v>
      </c>
      <c r="M33" s="295">
        <v>410.0747624999999</v>
      </c>
      <c r="N33" s="295">
        <f t="shared" si="3"/>
        <v>688.7009025</v>
      </c>
      <c r="O33" s="295">
        <f t="shared" si="4"/>
        <v>63.20087500494657</v>
      </c>
      <c r="P33" s="295">
        <f t="shared" si="5"/>
        <v>35.30943871608969</v>
      </c>
      <c r="Q33" s="295">
        <f t="shared" si="6"/>
        <v>98.51031372103625</v>
      </c>
      <c r="R33" s="367"/>
      <c r="S33" s="347"/>
      <c r="T33" s="347"/>
    </row>
    <row r="34" spans="1:20" ht="15">
      <c r="A34" s="133">
        <f t="shared" si="7"/>
        <v>21</v>
      </c>
      <c r="B34" s="201" t="s">
        <v>613</v>
      </c>
      <c r="C34" s="295">
        <v>78.06706923901474</v>
      </c>
      <c r="D34" s="295">
        <v>120.05</v>
      </c>
      <c r="E34" s="295">
        <f t="shared" si="0"/>
        <v>198.11706923901474</v>
      </c>
      <c r="F34" s="295">
        <v>11.320134111520561</v>
      </c>
      <c r="G34" s="295">
        <v>7.226209584918837</v>
      </c>
      <c r="H34" s="295">
        <f t="shared" si="1"/>
        <v>18.546343696439397</v>
      </c>
      <c r="I34" s="295">
        <v>82.20600449416266</v>
      </c>
      <c r="J34" s="295">
        <v>114.63386205135811</v>
      </c>
      <c r="K34" s="295">
        <f t="shared" si="2"/>
        <v>196.83986654552075</v>
      </c>
      <c r="L34" s="295">
        <v>76.23396</v>
      </c>
      <c r="M34" s="295">
        <v>112.19917499999998</v>
      </c>
      <c r="N34" s="295">
        <f t="shared" si="3"/>
        <v>188.433135</v>
      </c>
      <c r="O34" s="295">
        <f t="shared" si="4"/>
        <v>17.29217860568322</v>
      </c>
      <c r="P34" s="295">
        <f t="shared" si="5"/>
        <v>9.66089663627696</v>
      </c>
      <c r="Q34" s="295">
        <f t="shared" si="6"/>
        <v>26.953075241960164</v>
      </c>
      <c r="R34" s="367"/>
      <c r="S34" s="347"/>
      <c r="T34" s="347"/>
    </row>
    <row r="35" spans="1:20" ht="15">
      <c r="A35" s="133">
        <f t="shared" si="7"/>
        <v>22</v>
      </c>
      <c r="B35" s="201" t="s">
        <v>614</v>
      </c>
      <c r="C35" s="295">
        <v>91.90680293077975</v>
      </c>
      <c r="D35" s="295">
        <v>134.71</v>
      </c>
      <c r="E35" s="295">
        <f t="shared" si="0"/>
        <v>226.61680293077976</v>
      </c>
      <c r="F35" s="295">
        <v>13.326968017105601</v>
      </c>
      <c r="G35" s="295">
        <v>8.507272358646945</v>
      </c>
      <c r="H35" s="295">
        <f t="shared" si="1"/>
        <v>21.834240375752547</v>
      </c>
      <c r="I35" s="295">
        <v>96.77948882184981</v>
      </c>
      <c r="J35" s="295">
        <v>134.95615848587641</v>
      </c>
      <c r="K35" s="295">
        <f t="shared" si="2"/>
        <v>231.73564730772623</v>
      </c>
      <c r="L35" s="295">
        <v>89.74872</v>
      </c>
      <c r="M35" s="295">
        <v>132.08985</v>
      </c>
      <c r="N35" s="295">
        <f t="shared" si="3"/>
        <v>221.83857</v>
      </c>
      <c r="O35" s="295">
        <f t="shared" si="4"/>
        <v>20.357736838955404</v>
      </c>
      <c r="P35" s="295">
        <f t="shared" si="5"/>
        <v>11.37358084452336</v>
      </c>
      <c r="Q35" s="295">
        <f t="shared" si="6"/>
        <v>31.73131768347878</v>
      </c>
      <c r="R35" s="367"/>
      <c r="S35" s="347"/>
      <c r="T35" s="347"/>
    </row>
    <row r="36" spans="1:20" ht="15">
      <c r="A36" s="133">
        <f t="shared" si="7"/>
        <v>23</v>
      </c>
      <c r="B36" s="201" t="s">
        <v>615</v>
      </c>
      <c r="C36" s="295">
        <v>401.900837934187</v>
      </c>
      <c r="D36" s="295">
        <v>593.48</v>
      </c>
      <c r="E36" s="295">
        <f t="shared" si="0"/>
        <v>995.380837934187</v>
      </c>
      <c r="F36" s="295">
        <v>58.277727463013264</v>
      </c>
      <c r="G36" s="295">
        <v>37.2015974927303</v>
      </c>
      <c r="H36" s="295">
        <f t="shared" si="1"/>
        <v>95.47932495574356</v>
      </c>
      <c r="I36" s="295">
        <v>423.20868980328186</v>
      </c>
      <c r="J36" s="295">
        <v>590.1521046347694</v>
      </c>
      <c r="K36" s="295">
        <f t="shared" si="2"/>
        <v>1013.3607944380512</v>
      </c>
      <c r="L36" s="295">
        <v>392.46372</v>
      </c>
      <c r="M36" s="295">
        <v>577.617975</v>
      </c>
      <c r="N36" s="295">
        <f t="shared" si="3"/>
        <v>970.0816950000001</v>
      </c>
      <c r="O36" s="295">
        <f t="shared" si="4"/>
        <v>89.0226972662951</v>
      </c>
      <c r="P36" s="295">
        <f t="shared" si="5"/>
        <v>49.735727127499786</v>
      </c>
      <c r="Q36" s="295">
        <f t="shared" si="6"/>
        <v>138.7584243937947</v>
      </c>
      <c r="R36" s="367"/>
      <c r="S36" s="347"/>
      <c r="T36" s="347"/>
    </row>
    <row r="37" spans="1:20" ht="15">
      <c r="A37" s="133">
        <f t="shared" si="7"/>
        <v>24</v>
      </c>
      <c r="B37" s="201" t="s">
        <v>616</v>
      </c>
      <c r="C37" s="295">
        <v>311.4682923495986</v>
      </c>
      <c r="D37" s="295">
        <v>471.41</v>
      </c>
      <c r="E37" s="295">
        <f t="shared" si="0"/>
        <v>782.8782923495986</v>
      </c>
      <c r="F37" s="295">
        <v>45.16453448622184</v>
      </c>
      <c r="G37" s="295">
        <v>28.830788468361582</v>
      </c>
      <c r="H37" s="295">
        <f t="shared" si="1"/>
        <v>73.99532295458343</v>
      </c>
      <c r="I37" s="295">
        <v>327.98162003863405</v>
      </c>
      <c r="J37" s="295">
        <v>457.3607489895643</v>
      </c>
      <c r="K37" s="295">
        <f t="shared" si="2"/>
        <v>785.3423690281984</v>
      </c>
      <c r="L37" s="295">
        <v>304.15464</v>
      </c>
      <c r="M37" s="295">
        <v>447.64694999999995</v>
      </c>
      <c r="N37" s="295">
        <f t="shared" si="3"/>
        <v>751.8015899999999</v>
      </c>
      <c r="O37" s="295">
        <f t="shared" si="4"/>
        <v>68.99151452485592</v>
      </c>
      <c r="P37" s="295">
        <f t="shared" si="5"/>
        <v>38.5445874579259</v>
      </c>
      <c r="Q37" s="295">
        <f t="shared" si="6"/>
        <v>107.53610198278193</v>
      </c>
      <c r="R37" s="367"/>
      <c r="S37" s="347"/>
      <c r="T37" s="347"/>
    </row>
    <row r="38" spans="1:20" ht="15">
      <c r="A38" s="133">
        <f t="shared" si="7"/>
        <v>25</v>
      </c>
      <c r="B38" s="201" t="s">
        <v>617</v>
      </c>
      <c r="C38" s="295">
        <v>202.90466707716104</v>
      </c>
      <c r="D38" s="295">
        <v>299.09</v>
      </c>
      <c r="E38" s="295">
        <f t="shared" si="0"/>
        <v>501.994667077161</v>
      </c>
      <c r="F38" s="295">
        <v>29.422239947737054</v>
      </c>
      <c r="G38" s="295">
        <v>18.781692003431633</v>
      </c>
      <c r="H38" s="295">
        <f t="shared" si="1"/>
        <v>48.203931951168684</v>
      </c>
      <c r="I38" s="295">
        <v>213.66220272165287</v>
      </c>
      <c r="J38" s="295">
        <v>297.9456746875768</v>
      </c>
      <c r="K38" s="295">
        <f t="shared" si="2"/>
        <v>511.6078774092297</v>
      </c>
      <c r="L38" s="295">
        <v>198.14022</v>
      </c>
      <c r="M38" s="295">
        <v>291.61766249999994</v>
      </c>
      <c r="N38" s="295">
        <f t="shared" si="3"/>
        <v>489.75788249999994</v>
      </c>
      <c r="O38" s="295">
        <f t="shared" si="4"/>
        <v>44.944222669389944</v>
      </c>
      <c r="P38" s="295">
        <f t="shared" si="5"/>
        <v>25.109704191008518</v>
      </c>
      <c r="Q38" s="295">
        <f t="shared" si="6"/>
        <v>70.0539268603984</v>
      </c>
      <c r="R38" s="367"/>
      <c r="S38" s="347"/>
      <c r="T38" s="347"/>
    </row>
    <row r="39" spans="1:20" ht="15">
      <c r="A39" s="133">
        <f t="shared" si="7"/>
        <v>26</v>
      </c>
      <c r="B39" s="201" t="s">
        <v>618</v>
      </c>
      <c r="C39" s="295">
        <v>170.36243612150383</v>
      </c>
      <c r="D39" s="295">
        <v>259.82</v>
      </c>
      <c r="E39" s="295">
        <f t="shared" si="0"/>
        <v>430.1824361215038</v>
      </c>
      <c r="F39" s="295">
        <v>24.70344593770122</v>
      </c>
      <c r="G39" s="295">
        <v>15.769449023918183</v>
      </c>
      <c r="H39" s="295">
        <f t="shared" si="1"/>
        <v>40.4728949616194</v>
      </c>
      <c r="I39" s="295">
        <v>179.3946580287634</v>
      </c>
      <c r="J39" s="295">
        <v>250.16058872779902</v>
      </c>
      <c r="K39" s="295">
        <f t="shared" si="2"/>
        <v>429.5552467565624</v>
      </c>
      <c r="L39" s="295">
        <v>166.36212</v>
      </c>
      <c r="M39" s="295">
        <v>244.84747499999997</v>
      </c>
      <c r="N39" s="295">
        <f t="shared" si="3"/>
        <v>411.209595</v>
      </c>
      <c r="O39" s="295">
        <f t="shared" si="4"/>
        <v>37.7359839664646</v>
      </c>
      <c r="P39" s="295">
        <f t="shared" si="5"/>
        <v>21.082562751717205</v>
      </c>
      <c r="Q39" s="295">
        <f t="shared" si="6"/>
        <v>58.818546718181835</v>
      </c>
      <c r="R39" s="367"/>
      <c r="S39" s="347"/>
      <c r="T39" s="347"/>
    </row>
    <row r="40" spans="1:20" ht="15">
      <c r="A40" s="133">
        <f t="shared" si="7"/>
        <v>27</v>
      </c>
      <c r="B40" s="201" t="s">
        <v>619</v>
      </c>
      <c r="C40" s="295">
        <v>256.25792615230966</v>
      </c>
      <c r="D40" s="295">
        <v>387.91</v>
      </c>
      <c r="E40" s="295">
        <f t="shared" si="0"/>
        <v>644.1679261523097</v>
      </c>
      <c r="F40" s="295">
        <v>37.15874208499862</v>
      </c>
      <c r="G40" s="295">
        <v>23.72028949240742</v>
      </c>
      <c r="H40" s="295">
        <f t="shared" si="1"/>
        <v>60.87903157740604</v>
      </c>
      <c r="I40" s="295">
        <v>269.8441280592313</v>
      </c>
      <c r="J40" s="295">
        <v>376.28972167729506</v>
      </c>
      <c r="K40" s="295">
        <f t="shared" si="2"/>
        <v>646.1338497365264</v>
      </c>
      <c r="L40" s="295">
        <v>250.24068</v>
      </c>
      <c r="M40" s="295">
        <v>368.297775</v>
      </c>
      <c r="N40" s="295">
        <f t="shared" si="3"/>
        <v>618.538455</v>
      </c>
      <c r="O40" s="295">
        <f t="shared" si="4"/>
        <v>56.76219014422992</v>
      </c>
      <c r="P40" s="295">
        <f t="shared" si="5"/>
        <v>31.712236169702464</v>
      </c>
      <c r="Q40" s="295">
        <f t="shared" si="6"/>
        <v>88.47442631393244</v>
      </c>
      <c r="R40" s="367"/>
      <c r="S40" s="347"/>
      <c r="T40" s="347"/>
    </row>
    <row r="41" spans="1:20" ht="15">
      <c r="A41" s="133">
        <f t="shared" si="7"/>
        <v>28</v>
      </c>
      <c r="B41" s="143" t="s">
        <v>620</v>
      </c>
      <c r="C41" s="295">
        <v>130.57463030161952</v>
      </c>
      <c r="D41" s="295">
        <v>189.62</v>
      </c>
      <c r="E41" s="295">
        <f t="shared" si="0"/>
        <v>320.19463030161955</v>
      </c>
      <c r="F41" s="295">
        <v>18.934005605501127</v>
      </c>
      <c r="G41" s="295">
        <v>12.086525781362928</v>
      </c>
      <c r="H41" s="295">
        <f t="shared" si="1"/>
        <v>31.020531386864057</v>
      </c>
      <c r="I41" s="295">
        <v>137.49739486869498</v>
      </c>
      <c r="J41" s="295">
        <v>191.73608415573005</v>
      </c>
      <c r="K41" s="295">
        <f t="shared" si="2"/>
        <v>329.23347902442504</v>
      </c>
      <c r="L41" s="295">
        <v>127.50858</v>
      </c>
      <c r="M41" s="295">
        <v>187.6638375</v>
      </c>
      <c r="N41" s="295">
        <f t="shared" si="3"/>
        <v>315.1724175</v>
      </c>
      <c r="O41" s="295">
        <f t="shared" si="4"/>
        <v>28.9228204741961</v>
      </c>
      <c r="P41" s="295">
        <f t="shared" si="5"/>
        <v>16.158772437092978</v>
      </c>
      <c r="Q41" s="295">
        <f t="shared" si="6"/>
        <v>45.08159291128908</v>
      </c>
      <c r="R41" s="367"/>
      <c r="S41" s="347"/>
      <c r="T41" s="347"/>
    </row>
    <row r="42" spans="1:20" ht="15">
      <c r="A42" s="133">
        <f t="shared" si="7"/>
        <v>29</v>
      </c>
      <c r="B42" s="143" t="s">
        <v>621</v>
      </c>
      <c r="C42" s="295">
        <v>100.67234854728163</v>
      </c>
      <c r="D42" s="295">
        <v>150.12</v>
      </c>
      <c r="E42" s="295">
        <f t="shared" si="0"/>
        <v>250.79234854728162</v>
      </c>
      <c r="F42" s="295">
        <v>14.59801806300463</v>
      </c>
      <c r="G42" s="295">
        <v>9.318647377184897</v>
      </c>
      <c r="H42" s="295">
        <f t="shared" si="1"/>
        <v>23.916665440189526</v>
      </c>
      <c r="I42" s="295">
        <v>106.00976337126026</v>
      </c>
      <c r="J42" s="295">
        <v>147.827505608317</v>
      </c>
      <c r="K42" s="295">
        <f t="shared" si="2"/>
        <v>253.8372689795773</v>
      </c>
      <c r="L42" s="295">
        <v>98.30844</v>
      </c>
      <c r="M42" s="295">
        <v>144.687825</v>
      </c>
      <c r="N42" s="295">
        <f t="shared" si="3"/>
        <v>242.996265</v>
      </c>
      <c r="O42" s="295">
        <f t="shared" si="4"/>
        <v>22.29934143426489</v>
      </c>
      <c r="P42" s="295">
        <f t="shared" si="5"/>
        <v>12.45832798550191</v>
      </c>
      <c r="Q42" s="295">
        <f t="shared" si="6"/>
        <v>34.75766941976684</v>
      </c>
      <c r="R42" s="367"/>
      <c r="S42" s="347"/>
      <c r="T42" s="347"/>
    </row>
    <row r="43" spans="1:20" ht="15">
      <c r="A43" s="133">
        <f t="shared" si="7"/>
        <v>30</v>
      </c>
      <c r="B43" s="143" t="s">
        <v>622</v>
      </c>
      <c r="C43" s="295">
        <v>120.36911239348889</v>
      </c>
      <c r="D43" s="295">
        <v>178.75</v>
      </c>
      <c r="E43" s="295">
        <f t="shared" si="0"/>
        <v>299.1191123934889</v>
      </c>
      <c r="F43" s="295">
        <v>17.45415203185336</v>
      </c>
      <c r="G43" s="295">
        <v>11.141860994460203</v>
      </c>
      <c r="H43" s="295">
        <f t="shared" si="1"/>
        <v>28.596013026313564</v>
      </c>
      <c r="I43" s="295">
        <v>126.75080403085465</v>
      </c>
      <c r="J43" s="295">
        <v>176.75027844472686</v>
      </c>
      <c r="K43" s="295">
        <f t="shared" si="2"/>
        <v>303.5010824755815</v>
      </c>
      <c r="L43" s="295">
        <v>117.5427</v>
      </c>
      <c r="M43" s="295">
        <v>172.9963125</v>
      </c>
      <c r="N43" s="295">
        <f t="shared" si="3"/>
        <v>290.5390125</v>
      </c>
      <c r="O43" s="295">
        <f t="shared" si="4"/>
        <v>26.662256062708025</v>
      </c>
      <c r="P43" s="295">
        <f t="shared" si="5"/>
        <v>14.895826939187089</v>
      </c>
      <c r="Q43" s="295">
        <f t="shared" si="6"/>
        <v>41.558083001895056</v>
      </c>
      <c r="R43" s="367"/>
      <c r="S43" s="347"/>
      <c r="T43" s="347"/>
    </row>
    <row r="44" spans="1:20" ht="15">
      <c r="A44" s="133">
        <f t="shared" si="7"/>
        <v>31</v>
      </c>
      <c r="B44" s="143" t="s">
        <v>623</v>
      </c>
      <c r="C44" s="295">
        <v>107.0036552898397</v>
      </c>
      <c r="D44" s="295">
        <v>159.99</v>
      </c>
      <c r="E44" s="295">
        <f t="shared" si="0"/>
        <v>266.9936552898397</v>
      </c>
      <c r="F44" s="295">
        <v>15.516090716756993</v>
      </c>
      <c r="G44" s="295">
        <v>9.904699215868112</v>
      </c>
      <c r="H44" s="295">
        <f t="shared" si="1"/>
        <v>25.420789932625105</v>
      </c>
      <c r="I44" s="295">
        <v>112.67674133784878</v>
      </c>
      <c r="J44" s="295">
        <v>157.12441083104463</v>
      </c>
      <c r="K44" s="295">
        <f t="shared" si="2"/>
        <v>269.8011521688934</v>
      </c>
      <c r="L44" s="295">
        <v>104.49108</v>
      </c>
      <c r="M44" s="295">
        <v>153.787275</v>
      </c>
      <c r="N44" s="295">
        <f t="shared" si="3"/>
        <v>258.278355</v>
      </c>
      <c r="O44" s="295">
        <f t="shared" si="4"/>
        <v>23.70175205460579</v>
      </c>
      <c r="P44" s="295">
        <f t="shared" si="5"/>
        <v>13.24183504691274</v>
      </c>
      <c r="Q44" s="295">
        <f t="shared" si="6"/>
        <v>36.94358710151852</v>
      </c>
      <c r="R44" s="367"/>
      <c r="S44" s="347"/>
      <c r="T44" s="347"/>
    </row>
    <row r="45" spans="1:18" s="5" customFormat="1" ht="12.75">
      <c r="A45" s="150"/>
      <c r="B45" s="150" t="s">
        <v>624</v>
      </c>
      <c r="C45" s="297">
        <f>SUM(C14:C44)</f>
        <v>6087.779999999999</v>
      </c>
      <c r="D45" s="297">
        <f aca="true" t="shared" si="8" ref="D45:Q45">SUM(D14:D44)</f>
        <v>9180.78</v>
      </c>
      <c r="E45" s="297">
        <f t="shared" si="8"/>
        <v>15268.559999999998</v>
      </c>
      <c r="F45" s="297">
        <f t="shared" si="8"/>
        <v>882.7599999999999</v>
      </c>
      <c r="G45" s="297">
        <f t="shared" si="8"/>
        <v>563.5100000000002</v>
      </c>
      <c r="H45" s="297">
        <f t="shared" si="8"/>
        <v>1446.27</v>
      </c>
      <c r="I45" s="297">
        <f t="shared" si="8"/>
        <v>6410.54</v>
      </c>
      <c r="J45" s="297">
        <f t="shared" si="8"/>
        <v>8939.309999999998</v>
      </c>
      <c r="K45" s="297">
        <f t="shared" si="8"/>
        <v>15349.85</v>
      </c>
      <c r="L45" s="297">
        <f t="shared" si="8"/>
        <v>5944.831559999998</v>
      </c>
      <c r="M45" s="297">
        <f t="shared" si="8"/>
        <v>8749.449675000002</v>
      </c>
      <c r="N45" s="297">
        <f>SUM(N14:N44)</f>
        <v>14694.281234999999</v>
      </c>
      <c r="O45" s="297">
        <f t="shared" si="8"/>
        <v>1348.4684399999999</v>
      </c>
      <c r="P45" s="297">
        <f t="shared" si="8"/>
        <v>753.3703250000003</v>
      </c>
      <c r="Q45" s="297">
        <f t="shared" si="8"/>
        <v>2101.8387650000004</v>
      </c>
      <c r="R45" s="337"/>
    </row>
    <row r="46" spans="1:17" ht="12.75">
      <c r="A46" s="3"/>
      <c r="B46" s="18"/>
      <c r="C46" s="18"/>
      <c r="D46" s="18"/>
      <c r="E46" s="383"/>
      <c r="F46" s="10"/>
      <c r="G46" s="10"/>
      <c r="H46" s="10"/>
      <c r="I46" s="10"/>
      <c r="J46" s="10"/>
      <c r="K46" s="10"/>
      <c r="L46" s="10"/>
      <c r="M46" s="10"/>
      <c r="N46" s="430"/>
      <c r="O46" s="10"/>
      <c r="P46" s="10"/>
      <c r="Q46" s="10"/>
    </row>
    <row r="47" spans="1:17" ht="14.25" customHeight="1">
      <c r="A47" s="707" t="s">
        <v>585</v>
      </c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</row>
    <row r="48" spans="1:17" s="331" customFormat="1" ht="15.75" customHeight="1">
      <c r="A48" s="329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6:8" ht="12.75">
      <c r="F49" s="347"/>
      <c r="G49" s="347"/>
      <c r="H49" s="347"/>
    </row>
    <row r="50" spans="10:17" ht="15.75">
      <c r="J50" s="347"/>
      <c r="M50" s="621" t="s">
        <v>860</v>
      </c>
      <c r="N50" s="621"/>
      <c r="O50" s="621"/>
      <c r="P50" s="621"/>
      <c r="Q50" s="621"/>
    </row>
    <row r="51" spans="13:17" ht="15.75">
      <c r="M51" s="621" t="s">
        <v>653</v>
      </c>
      <c r="N51" s="621"/>
      <c r="O51" s="621"/>
      <c r="P51" s="621"/>
      <c r="Q51" s="621"/>
    </row>
    <row r="53" spans="9:10" ht="12.75">
      <c r="I53" s="5"/>
      <c r="J53" s="5"/>
    </row>
  </sheetData>
  <sheetProtection/>
  <mergeCells count="16">
    <mergeCell ref="A9:B9"/>
    <mergeCell ref="O11:Q11"/>
    <mergeCell ref="L11:N11"/>
    <mergeCell ref="C11:E11"/>
    <mergeCell ref="F11:H11"/>
    <mergeCell ref="A47:Q47"/>
    <mergeCell ref="M50:Q50"/>
    <mergeCell ref="M51:Q51"/>
    <mergeCell ref="P1:Q1"/>
    <mergeCell ref="A2:Q2"/>
    <mergeCell ref="A3:Q3"/>
    <mergeCell ref="N10:Q10"/>
    <mergeCell ref="A6:Q6"/>
    <mergeCell ref="A11:A12"/>
    <mergeCell ref="B11:B12"/>
    <mergeCell ref="I11:K11"/>
  </mergeCells>
  <printOptions horizontalCentered="1"/>
  <pageMargins left="0.48" right="0.41" top="0.43" bottom="0" header="0.31496062992125984" footer="0.31496062992125984"/>
  <pageSetup fitToHeight="1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zoomScale="55" zoomScaleNormal="85" zoomScaleSheetLayoutView="55" zoomScalePageLayoutView="0" workbookViewId="0" topLeftCell="A11">
      <selection activeCell="E14" sqref="E14"/>
    </sheetView>
  </sheetViews>
  <sheetFormatPr defaultColWidth="9.140625" defaultRowHeight="12.75"/>
  <cols>
    <col min="1" max="1" width="7.421875" style="6" customWidth="1"/>
    <col min="2" max="2" width="17.140625" style="6" customWidth="1"/>
    <col min="3" max="3" width="8.7109375" style="6" customWidth="1"/>
    <col min="4" max="4" width="8.140625" style="6" customWidth="1"/>
    <col min="5" max="5" width="10.00390625" style="6" customWidth="1"/>
    <col min="6" max="7" width="7.28125" style="6" customWidth="1"/>
    <col min="8" max="8" width="8.140625" style="6" customWidth="1"/>
    <col min="9" max="9" width="9.28125" style="6" customWidth="1"/>
    <col min="10" max="10" width="10.00390625" style="6" customWidth="1"/>
    <col min="11" max="11" width="8.421875" style="6" customWidth="1"/>
    <col min="12" max="12" width="8.7109375" style="6" customWidth="1"/>
    <col min="13" max="13" width="7.8515625" style="6" customWidth="1"/>
    <col min="14" max="14" width="9.8515625" style="6" customWidth="1"/>
    <col min="15" max="15" width="13.7109375" style="6" customWidth="1"/>
    <col min="16" max="16" width="11.8515625" style="6" customWidth="1"/>
    <col min="17" max="17" width="9.7109375" style="6" customWidth="1"/>
    <col min="18" max="18" width="9.57421875" style="6" bestFit="1" customWidth="1"/>
    <col min="19" max="16384" width="9.140625" style="6" customWidth="1"/>
  </cols>
  <sheetData>
    <row r="1" spans="8:21" ht="15">
      <c r="H1" s="21"/>
      <c r="I1" s="21"/>
      <c r="J1" s="21"/>
      <c r="K1" s="21"/>
      <c r="L1" s="21"/>
      <c r="M1" s="21"/>
      <c r="N1" s="21"/>
      <c r="O1" s="21"/>
      <c r="P1" s="641" t="s">
        <v>86</v>
      </c>
      <c r="Q1" s="641"/>
      <c r="R1" s="708"/>
      <c r="T1" s="25"/>
      <c r="U1" s="25"/>
    </row>
    <row r="2" spans="1:21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708"/>
      <c r="S2" s="27"/>
      <c r="T2" s="27"/>
      <c r="U2" s="27"/>
    </row>
    <row r="3" spans="1:21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708"/>
      <c r="S3" s="26"/>
      <c r="T3" s="26"/>
      <c r="U3" s="26"/>
    </row>
    <row r="4" ht="10.5" customHeight="1">
      <c r="R4" s="708"/>
    </row>
    <row r="5" spans="1:18" ht="9" customHeight="1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2"/>
      <c r="Q5" s="10"/>
      <c r="R5" s="708"/>
    </row>
    <row r="6" spans="1:18" ht="18" customHeight="1">
      <c r="A6" s="564" t="s">
        <v>722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708"/>
    </row>
    <row r="7" ht="5.25" customHeight="1">
      <c r="R7" s="708"/>
    </row>
    <row r="8" spans="1:18" ht="12.75">
      <c r="A8" s="559" t="s">
        <v>665</v>
      </c>
      <c r="B8" s="559"/>
      <c r="Q8" s="19" t="s">
        <v>19</v>
      </c>
      <c r="R8" s="708"/>
    </row>
    <row r="9" spans="1:19" ht="15.75">
      <c r="A9" s="4"/>
      <c r="N9" s="656" t="s">
        <v>750</v>
      </c>
      <c r="O9" s="656"/>
      <c r="P9" s="656"/>
      <c r="Q9" s="656"/>
      <c r="R9" s="708"/>
      <c r="S9" s="10"/>
    </row>
    <row r="10" spans="1:18" ht="36.75" customHeight="1">
      <c r="A10" s="642" t="s">
        <v>2</v>
      </c>
      <c r="B10" s="642" t="s">
        <v>3</v>
      </c>
      <c r="C10" s="530" t="s">
        <v>723</v>
      </c>
      <c r="D10" s="530"/>
      <c r="E10" s="530"/>
      <c r="F10" s="530" t="s">
        <v>787</v>
      </c>
      <c r="G10" s="530"/>
      <c r="H10" s="530"/>
      <c r="I10" s="701" t="s">
        <v>361</v>
      </c>
      <c r="J10" s="702"/>
      <c r="K10" s="703"/>
      <c r="L10" s="701" t="s">
        <v>87</v>
      </c>
      <c r="M10" s="702"/>
      <c r="N10" s="703"/>
      <c r="O10" s="704" t="s">
        <v>786</v>
      </c>
      <c r="P10" s="705"/>
      <c r="Q10" s="706"/>
      <c r="R10" s="708"/>
    </row>
    <row r="11" spans="1:17" ht="39.75" customHeight="1">
      <c r="A11" s="643"/>
      <c r="B11" s="643"/>
      <c r="C11" s="1" t="s">
        <v>107</v>
      </c>
      <c r="D11" s="1" t="s">
        <v>582</v>
      </c>
      <c r="E11" s="24" t="s">
        <v>16</v>
      </c>
      <c r="F11" s="1" t="s">
        <v>107</v>
      </c>
      <c r="G11" s="1" t="s">
        <v>583</v>
      </c>
      <c r="H11" s="24" t="s">
        <v>16</v>
      </c>
      <c r="I11" s="1" t="s">
        <v>107</v>
      </c>
      <c r="J11" s="1" t="s">
        <v>583</v>
      </c>
      <c r="K11" s="24" t="s">
        <v>16</v>
      </c>
      <c r="L11" s="1" t="s">
        <v>107</v>
      </c>
      <c r="M11" s="1" t="s">
        <v>583</v>
      </c>
      <c r="N11" s="24" t="s">
        <v>16</v>
      </c>
      <c r="O11" s="1" t="s">
        <v>229</v>
      </c>
      <c r="P11" s="1" t="s">
        <v>584</v>
      </c>
      <c r="Q11" s="1" t="s">
        <v>108</v>
      </c>
    </row>
    <row r="12" spans="1:17" s="33" customFormat="1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</row>
    <row r="13" spans="1:29" s="33" customFormat="1" ht="15">
      <c r="A13" s="133">
        <v>1</v>
      </c>
      <c r="B13" s="201" t="s">
        <v>633</v>
      </c>
      <c r="C13" s="295">
        <v>136.89838394516636</v>
      </c>
      <c r="D13" s="295">
        <v>165.47</v>
      </c>
      <c r="E13" s="295">
        <f>SUM(C13:D13)</f>
        <v>302.36838394516633</v>
      </c>
      <c r="F13" s="295">
        <v>19.855681852046455</v>
      </c>
      <c r="G13" s="295">
        <v>12.674930336514707</v>
      </c>
      <c r="H13" s="295">
        <f>SUM(F13:G13)</f>
        <v>32.530612188561165</v>
      </c>
      <c r="I13" s="295">
        <v>144.18954874875504</v>
      </c>
      <c r="J13" s="295">
        <v>165.61021260577354</v>
      </c>
      <c r="K13" s="295">
        <f>SUM(I13:J13)</f>
        <v>309.7997613545286</v>
      </c>
      <c r="L13" s="295">
        <v>129.31947</v>
      </c>
      <c r="M13" s="295">
        <v>155.81078999999997</v>
      </c>
      <c r="N13" s="295">
        <f>SUM(L13:M13)</f>
        <v>285.13025999999996</v>
      </c>
      <c r="O13" s="295">
        <f>F13+I13-L13</f>
        <v>34.72576060080149</v>
      </c>
      <c r="P13" s="295">
        <f>G13+J13-M13</f>
        <v>22.474352942288277</v>
      </c>
      <c r="Q13" s="295">
        <f>K13+H13-N13</f>
        <v>57.2001135430898</v>
      </c>
      <c r="R13" s="36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</row>
    <row r="14" spans="1:29" s="33" customFormat="1" ht="15">
      <c r="A14" s="133">
        <f>A13+1</f>
        <v>2</v>
      </c>
      <c r="B14" s="201" t="s">
        <v>598</v>
      </c>
      <c r="C14" s="295">
        <v>155.42013793103447</v>
      </c>
      <c r="D14" s="295">
        <v>194.32</v>
      </c>
      <c r="E14" s="295">
        <f aca="true" t="shared" si="0" ref="E14:E43">SUM(C14:D14)</f>
        <v>349.7401379310345</v>
      </c>
      <c r="F14" s="295">
        <v>22.54206896551724</v>
      </c>
      <c r="G14" s="295">
        <v>14.389793103448275</v>
      </c>
      <c r="H14" s="295">
        <f aca="true" t="shared" si="1" ref="H14:H43">SUM(F14:G14)</f>
        <v>36.931862068965515</v>
      </c>
      <c r="I14" s="295">
        <v>163.69776551724138</v>
      </c>
      <c r="J14" s="295">
        <v>188.01655172413794</v>
      </c>
      <c r="K14" s="295">
        <f aca="true" t="shared" si="2" ref="K14:K43">SUM(I14:J14)</f>
        <v>351.7143172413793</v>
      </c>
      <c r="L14" s="295">
        <v>146.81583</v>
      </c>
      <c r="M14" s="295">
        <v>176.89131</v>
      </c>
      <c r="N14" s="295">
        <f aca="true" t="shared" si="3" ref="N14:N43">SUM(L14:M14)</f>
        <v>323.70714</v>
      </c>
      <c r="O14" s="295">
        <f aca="true" t="shared" si="4" ref="O14:O43">F14+I14-L14</f>
        <v>39.42400448275862</v>
      </c>
      <c r="P14" s="295">
        <f aca="true" t="shared" si="5" ref="P14:P43">G14+J14-M14</f>
        <v>25.51503482758622</v>
      </c>
      <c r="Q14" s="295">
        <f aca="true" t="shared" si="6" ref="Q14:Q43">K14+H14-N14</f>
        <v>64.93903931034487</v>
      </c>
      <c r="R14" s="36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</row>
    <row r="15" spans="1:29" s="33" customFormat="1" ht="15">
      <c r="A15" s="133">
        <f aca="true" t="shared" si="7" ref="A15:A43">A14+1</f>
        <v>3</v>
      </c>
      <c r="B15" s="201" t="s">
        <v>634</v>
      </c>
      <c r="C15" s="295">
        <v>342.4315308713621</v>
      </c>
      <c r="D15" s="295">
        <v>435.71</v>
      </c>
      <c r="E15" s="402">
        <f t="shared" si="0"/>
        <v>778.1415308713621</v>
      </c>
      <c r="F15" s="295">
        <v>49.666119768180494</v>
      </c>
      <c r="G15" s="295">
        <v>31.704507195344785</v>
      </c>
      <c r="H15" s="402">
        <f t="shared" si="1"/>
        <v>81.37062696352528</v>
      </c>
      <c r="I15" s="295">
        <v>360.6693263337856</v>
      </c>
      <c r="J15" s="295">
        <v>414.2500225075091</v>
      </c>
      <c r="K15" s="402">
        <f t="shared" si="2"/>
        <v>774.9193488412947</v>
      </c>
      <c r="L15" s="295">
        <v>323.4739725</v>
      </c>
      <c r="M15" s="295">
        <v>389.7381825</v>
      </c>
      <c r="N15" s="402">
        <f t="shared" si="3"/>
        <v>713.2121549999999</v>
      </c>
      <c r="O15" s="402">
        <f t="shared" si="4"/>
        <v>86.86147360196611</v>
      </c>
      <c r="P15" s="295">
        <f t="shared" si="5"/>
        <v>56.216347202853854</v>
      </c>
      <c r="Q15" s="295">
        <f t="shared" si="6"/>
        <v>143.07782080482002</v>
      </c>
      <c r="R15" s="36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</row>
    <row r="16" spans="1:29" s="33" customFormat="1" ht="15">
      <c r="A16" s="133">
        <f t="shared" si="7"/>
        <v>4</v>
      </c>
      <c r="B16" s="201" t="s">
        <v>599</v>
      </c>
      <c r="C16" s="295">
        <v>164.12430189862994</v>
      </c>
      <c r="D16" s="295">
        <v>198.67</v>
      </c>
      <c r="E16" s="295">
        <f t="shared" si="0"/>
        <v>362.7943018986299</v>
      </c>
      <c r="F16" s="295">
        <v>23.80451710805957</v>
      </c>
      <c r="G16" s="295">
        <v>15.195680424741008</v>
      </c>
      <c r="H16" s="295">
        <f t="shared" si="1"/>
        <v>39.00019753280058</v>
      </c>
      <c r="I16" s="295">
        <v>172.86551051579053</v>
      </c>
      <c r="J16" s="295">
        <v>198.5462483040945</v>
      </c>
      <c r="K16" s="295">
        <f t="shared" si="2"/>
        <v>371.411758819885</v>
      </c>
      <c r="L16" s="295">
        <v>155.0381175</v>
      </c>
      <c r="M16" s="295">
        <v>186.7979475</v>
      </c>
      <c r="N16" s="295">
        <f t="shared" si="3"/>
        <v>341.83606499999996</v>
      </c>
      <c r="O16" s="295">
        <f t="shared" si="4"/>
        <v>41.631910123850105</v>
      </c>
      <c r="P16" s="295">
        <f t="shared" si="5"/>
        <v>26.943981228835497</v>
      </c>
      <c r="Q16" s="295">
        <f t="shared" si="6"/>
        <v>68.57589135268563</v>
      </c>
      <c r="R16" s="36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</row>
    <row r="17" spans="1:29" s="33" customFormat="1" ht="15">
      <c r="A17" s="133">
        <f t="shared" si="7"/>
        <v>5</v>
      </c>
      <c r="B17" s="201" t="s">
        <v>600</v>
      </c>
      <c r="C17" s="295">
        <v>102.79750196450557</v>
      </c>
      <c r="D17" s="295">
        <v>134.2</v>
      </c>
      <c r="E17" s="295">
        <f t="shared" si="0"/>
        <v>236.99750196450555</v>
      </c>
      <c r="F17" s="295">
        <v>14.909704814411079</v>
      </c>
      <c r="G17" s="295">
        <v>9.51765198842471</v>
      </c>
      <c r="H17" s="295">
        <f t="shared" si="1"/>
        <v>24.42735680283579</v>
      </c>
      <c r="I17" s="295">
        <v>108.27246453616493</v>
      </c>
      <c r="J17" s="295">
        <v>124.35732011638028</v>
      </c>
      <c r="K17" s="295">
        <f t="shared" si="2"/>
        <v>232.6297846525452</v>
      </c>
      <c r="L17" s="295">
        <v>97.1064675</v>
      </c>
      <c r="M17" s="295">
        <v>116.99889749999998</v>
      </c>
      <c r="N17" s="295">
        <f t="shared" si="3"/>
        <v>214.10536499999998</v>
      </c>
      <c r="O17" s="295">
        <f t="shared" si="4"/>
        <v>26.07570185057601</v>
      </c>
      <c r="P17" s="295">
        <f t="shared" si="5"/>
        <v>16.876074604804998</v>
      </c>
      <c r="Q17" s="295">
        <f t="shared" si="6"/>
        <v>42.95177645538101</v>
      </c>
      <c r="R17" s="36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</row>
    <row r="18" spans="1:29" s="33" customFormat="1" ht="15">
      <c r="A18" s="133">
        <f t="shared" si="7"/>
        <v>6</v>
      </c>
      <c r="B18" s="201" t="s">
        <v>601</v>
      </c>
      <c r="C18" s="295">
        <v>95.25094762102687</v>
      </c>
      <c r="D18" s="295">
        <v>115.67</v>
      </c>
      <c r="E18" s="295">
        <f t="shared" si="0"/>
        <v>210.92094762102687</v>
      </c>
      <c r="F18" s="295">
        <v>13.815155866460675</v>
      </c>
      <c r="G18" s="295">
        <v>8.818943590065325</v>
      </c>
      <c r="H18" s="295">
        <f t="shared" si="1"/>
        <v>22.634099456526002</v>
      </c>
      <c r="I18" s="295">
        <v>100.32398308564618</v>
      </c>
      <c r="J18" s="295">
        <v>115.22801973132152</v>
      </c>
      <c r="K18" s="295">
        <f t="shared" si="2"/>
        <v>215.5520028169677</v>
      </c>
      <c r="L18" s="295">
        <v>89.9777025</v>
      </c>
      <c r="M18" s="295">
        <v>108.4097925</v>
      </c>
      <c r="N18" s="295">
        <f t="shared" si="3"/>
        <v>198.387495</v>
      </c>
      <c r="O18" s="295">
        <f t="shared" si="4"/>
        <v>24.16143645210684</v>
      </c>
      <c r="P18" s="295">
        <f t="shared" si="5"/>
        <v>15.63717082138686</v>
      </c>
      <c r="Q18" s="295">
        <f t="shared" si="6"/>
        <v>39.7986072734937</v>
      </c>
      <c r="R18" s="36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</row>
    <row r="19" spans="1:29" s="33" customFormat="1" ht="15">
      <c r="A19" s="133">
        <f t="shared" si="7"/>
        <v>7</v>
      </c>
      <c r="B19" s="201" t="s">
        <v>602</v>
      </c>
      <c r="C19" s="295">
        <v>151.6291873299193</v>
      </c>
      <c r="D19" s="295">
        <v>184.81</v>
      </c>
      <c r="E19" s="295">
        <f t="shared" si="0"/>
        <v>336.43918732991926</v>
      </c>
      <c r="F19" s="295">
        <v>21.99223114505972</v>
      </c>
      <c r="G19" s="295">
        <v>14.038802584834487</v>
      </c>
      <c r="H19" s="295">
        <f t="shared" si="1"/>
        <v>36.031033729894204</v>
      </c>
      <c r="I19" s="295">
        <v>159.70491008132504</v>
      </c>
      <c r="J19" s="295">
        <v>183.43052143702997</v>
      </c>
      <c r="K19" s="295">
        <f t="shared" si="2"/>
        <v>343.135431518355</v>
      </c>
      <c r="L19" s="295">
        <v>143.2347525</v>
      </c>
      <c r="M19" s="295">
        <v>172.5766425</v>
      </c>
      <c r="N19" s="295">
        <f t="shared" si="3"/>
        <v>315.811395</v>
      </c>
      <c r="O19" s="295">
        <f t="shared" si="4"/>
        <v>38.462388726384745</v>
      </c>
      <c r="P19" s="295">
        <f t="shared" si="5"/>
        <v>24.89268152186446</v>
      </c>
      <c r="Q19" s="295">
        <f t="shared" si="6"/>
        <v>63.355070248249206</v>
      </c>
      <c r="R19" s="36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</row>
    <row r="20" spans="1:29" s="33" customFormat="1" ht="15">
      <c r="A20" s="133">
        <f t="shared" si="7"/>
        <v>8</v>
      </c>
      <c r="B20" s="201" t="s">
        <v>603</v>
      </c>
      <c r="C20" s="295">
        <v>203.16490738983475</v>
      </c>
      <c r="D20" s="295">
        <v>259.56</v>
      </c>
      <c r="E20" s="295">
        <f t="shared" si="0"/>
        <v>462.72490738983475</v>
      </c>
      <c r="F20" s="295">
        <v>29.466949487503232</v>
      </c>
      <c r="G20" s="295">
        <v>18.810310054661095</v>
      </c>
      <c r="H20" s="295">
        <f t="shared" si="1"/>
        <v>48.27725954216433</v>
      </c>
      <c r="I20" s="295">
        <v>213.9854063569989</v>
      </c>
      <c r="J20" s="295">
        <v>245.77487722820416</v>
      </c>
      <c r="K20" s="295">
        <f t="shared" si="2"/>
        <v>459.76028358520307</v>
      </c>
      <c r="L20" s="295">
        <v>191.9173725</v>
      </c>
      <c r="M20" s="295">
        <v>231.23198249999996</v>
      </c>
      <c r="N20" s="295">
        <f t="shared" si="3"/>
        <v>423.14935499999996</v>
      </c>
      <c r="O20" s="295">
        <f t="shared" si="4"/>
        <v>51.53498334450214</v>
      </c>
      <c r="P20" s="295">
        <f t="shared" si="5"/>
        <v>33.353204782865305</v>
      </c>
      <c r="Q20" s="295">
        <f t="shared" si="6"/>
        <v>84.88818812736741</v>
      </c>
      <c r="R20" s="36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</row>
    <row r="21" spans="1:29" s="33" customFormat="1" ht="15">
      <c r="A21" s="133">
        <f t="shared" si="7"/>
        <v>9</v>
      </c>
      <c r="B21" s="201" t="s">
        <v>604</v>
      </c>
      <c r="C21" s="295">
        <v>126.23246931685397</v>
      </c>
      <c r="D21" s="295">
        <v>157.48</v>
      </c>
      <c r="E21" s="295">
        <f t="shared" si="0"/>
        <v>283.71246931685397</v>
      </c>
      <c r="F21" s="295">
        <v>18.30870224996667</v>
      </c>
      <c r="G21" s="295">
        <v>11.687411558037219</v>
      </c>
      <c r="H21" s="295">
        <f t="shared" si="1"/>
        <v>29.99611380800389</v>
      </c>
      <c r="I21" s="295">
        <v>132.9555708672841</v>
      </c>
      <c r="J21" s="295">
        <v>152.70732552759327</v>
      </c>
      <c r="K21" s="295">
        <f t="shared" si="2"/>
        <v>285.6628963948774</v>
      </c>
      <c r="L21" s="295">
        <v>119.2440375</v>
      </c>
      <c r="M21" s="295">
        <v>143.6713875</v>
      </c>
      <c r="N21" s="295">
        <f t="shared" si="3"/>
        <v>262.915425</v>
      </c>
      <c r="O21" s="295">
        <f t="shared" si="4"/>
        <v>32.020235617250776</v>
      </c>
      <c r="P21" s="295">
        <f t="shared" si="5"/>
        <v>20.723349585630473</v>
      </c>
      <c r="Q21" s="295">
        <f t="shared" si="6"/>
        <v>52.74358520288126</v>
      </c>
      <c r="R21" s="36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s="33" customFormat="1" ht="15">
      <c r="A22" s="133">
        <f t="shared" si="7"/>
        <v>10</v>
      </c>
      <c r="B22" s="201" t="s">
        <v>605</v>
      </c>
      <c r="C22" s="295">
        <v>221.668987946327</v>
      </c>
      <c r="D22" s="295">
        <v>272.9</v>
      </c>
      <c r="E22" s="295">
        <f t="shared" si="0"/>
        <v>494.56898794632696</v>
      </c>
      <c r="F22" s="295">
        <v>32.150773254491696</v>
      </c>
      <c r="G22" s="295">
        <v>20.523536502160564</v>
      </c>
      <c r="H22" s="295">
        <f t="shared" si="1"/>
        <v>52.674309756652264</v>
      </c>
      <c r="I22" s="295">
        <v>233.4750084148283</v>
      </c>
      <c r="J22" s="295">
        <v>268.15983625199</v>
      </c>
      <c r="K22" s="295">
        <f t="shared" si="2"/>
        <v>501.63484466681825</v>
      </c>
      <c r="L22" s="295">
        <v>209.3970375</v>
      </c>
      <c r="M22" s="295">
        <v>252.2923875</v>
      </c>
      <c r="N22" s="295">
        <f t="shared" si="3"/>
        <v>461.689425</v>
      </c>
      <c r="O22" s="295">
        <f t="shared" si="4"/>
        <v>56.22874416931995</v>
      </c>
      <c r="P22" s="295">
        <f t="shared" si="5"/>
        <v>36.390985254150536</v>
      </c>
      <c r="Q22" s="295">
        <f t="shared" si="6"/>
        <v>92.61972942347052</v>
      </c>
      <c r="R22" s="36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1:29" s="33" customFormat="1" ht="15" customHeight="1">
      <c r="A23" s="133">
        <f t="shared" si="7"/>
        <v>11</v>
      </c>
      <c r="B23" s="201" t="s">
        <v>635</v>
      </c>
      <c r="C23" s="295">
        <v>91.5837110255425</v>
      </c>
      <c r="D23" s="295">
        <v>116.75</v>
      </c>
      <c r="E23" s="295">
        <f t="shared" si="0"/>
        <v>208.3337110255425</v>
      </c>
      <c r="F23" s="295">
        <v>13.283261471379388</v>
      </c>
      <c r="G23" s="295">
        <v>8.479407307490217</v>
      </c>
      <c r="H23" s="295">
        <f t="shared" si="1"/>
        <v>21.762668778869603</v>
      </c>
      <c r="I23" s="295">
        <v>96.46143062432849</v>
      </c>
      <c r="J23" s="295">
        <v>110.79165010626369</v>
      </c>
      <c r="K23" s="295">
        <f t="shared" si="2"/>
        <v>207.25308073059216</v>
      </c>
      <c r="L23" s="295">
        <v>86.51349</v>
      </c>
      <c r="M23" s="295">
        <v>104.23592999999998</v>
      </c>
      <c r="N23" s="295">
        <f t="shared" si="3"/>
        <v>190.74942</v>
      </c>
      <c r="O23" s="295">
        <f t="shared" si="4"/>
        <v>23.23120209570787</v>
      </c>
      <c r="P23" s="295">
        <f t="shared" si="5"/>
        <v>15.035127413753926</v>
      </c>
      <c r="Q23" s="295">
        <f t="shared" si="6"/>
        <v>38.26632950946177</v>
      </c>
      <c r="R23" s="36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</row>
    <row r="24" spans="1:29" s="33" customFormat="1" ht="15">
      <c r="A24" s="133">
        <f t="shared" si="7"/>
        <v>12</v>
      </c>
      <c r="B24" s="201" t="s">
        <v>606</v>
      </c>
      <c r="C24" s="295">
        <v>120.12629946750526</v>
      </c>
      <c r="D24" s="295">
        <v>152.83</v>
      </c>
      <c r="E24" s="295">
        <f t="shared" si="0"/>
        <v>272.9562994675053</v>
      </c>
      <c r="F24" s="295">
        <v>17.4230660403253</v>
      </c>
      <c r="G24" s="295">
        <v>11.122063193556736</v>
      </c>
      <c r="H24" s="295">
        <f t="shared" si="1"/>
        <v>28.545129233882037</v>
      </c>
      <c r="I24" s="295">
        <v>126.52418833530697</v>
      </c>
      <c r="J24" s="295">
        <v>145.32050285068973</v>
      </c>
      <c r="K24" s="295">
        <f t="shared" si="2"/>
        <v>271.8446911859967</v>
      </c>
      <c r="L24" s="295">
        <v>113.475915</v>
      </c>
      <c r="M24" s="295">
        <v>136.72165499999997</v>
      </c>
      <c r="N24" s="295">
        <f t="shared" si="3"/>
        <v>250.19756999999998</v>
      </c>
      <c r="O24" s="295">
        <f t="shared" si="4"/>
        <v>30.47133937563227</v>
      </c>
      <c r="P24" s="295">
        <f t="shared" si="5"/>
        <v>19.720911044246492</v>
      </c>
      <c r="Q24" s="295">
        <f t="shared" si="6"/>
        <v>50.19225041987875</v>
      </c>
      <c r="R24" s="36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</row>
    <row r="25" spans="1:29" s="33" customFormat="1" ht="15" customHeight="1">
      <c r="A25" s="133">
        <f t="shared" si="7"/>
        <v>13</v>
      </c>
      <c r="B25" s="201" t="s">
        <v>607</v>
      </c>
      <c r="C25" s="295">
        <v>365.00933689898284</v>
      </c>
      <c r="D25" s="295">
        <v>448.06</v>
      </c>
      <c r="E25" s="295">
        <f t="shared" si="0"/>
        <v>813.0693368989828</v>
      </c>
      <c r="F25" s="295">
        <v>52.940794899343594</v>
      </c>
      <c r="G25" s="295">
        <v>33.7949052724036</v>
      </c>
      <c r="H25" s="295">
        <f t="shared" si="1"/>
        <v>86.7357001717472</v>
      </c>
      <c r="I25" s="295">
        <v>384.4496191980425</v>
      </c>
      <c r="J25" s="295">
        <v>441.56309333166035</v>
      </c>
      <c r="K25" s="295">
        <f t="shared" si="2"/>
        <v>826.0127125297029</v>
      </c>
      <c r="L25" s="295">
        <v>344.801835</v>
      </c>
      <c r="M25" s="295">
        <v>415.43509499999993</v>
      </c>
      <c r="N25" s="295">
        <f t="shared" si="3"/>
        <v>760.2369299999999</v>
      </c>
      <c r="O25" s="295">
        <f t="shared" si="4"/>
        <v>92.58857909738612</v>
      </c>
      <c r="P25" s="295">
        <f t="shared" si="5"/>
        <v>59.922903604064004</v>
      </c>
      <c r="Q25" s="295">
        <f t="shared" si="6"/>
        <v>152.51148270145018</v>
      </c>
      <c r="R25" s="36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</row>
    <row r="26" spans="1:29" s="33" customFormat="1" ht="15">
      <c r="A26" s="133">
        <f t="shared" si="7"/>
        <v>14</v>
      </c>
      <c r="B26" s="201" t="s">
        <v>636</v>
      </c>
      <c r="C26" s="295">
        <v>132.97488262373247</v>
      </c>
      <c r="D26" s="295">
        <v>169.28</v>
      </c>
      <c r="E26" s="295">
        <f t="shared" si="0"/>
        <v>302.25488262373244</v>
      </c>
      <c r="F26" s="295">
        <v>19.28661893297154</v>
      </c>
      <c r="G26" s="295">
        <v>12.311667422145193</v>
      </c>
      <c r="H26" s="295">
        <f t="shared" si="1"/>
        <v>31.598286355116734</v>
      </c>
      <c r="I26" s="295">
        <v>140.05708298291154</v>
      </c>
      <c r="J26" s="295">
        <v>160.86383160932613</v>
      </c>
      <c r="K26" s="295">
        <f t="shared" si="2"/>
        <v>300.92091459223764</v>
      </c>
      <c r="L26" s="295">
        <v>125.61318</v>
      </c>
      <c r="M26" s="295">
        <v>151.34526</v>
      </c>
      <c r="N26" s="295">
        <f t="shared" si="3"/>
        <v>276.95844</v>
      </c>
      <c r="O26" s="295">
        <f t="shared" si="4"/>
        <v>33.73052191588309</v>
      </c>
      <c r="P26" s="295">
        <f t="shared" si="5"/>
        <v>21.830239031471336</v>
      </c>
      <c r="Q26" s="295">
        <f t="shared" si="6"/>
        <v>55.56076094735437</v>
      </c>
      <c r="R26" s="36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</row>
    <row r="27" spans="1:29" s="33" customFormat="1" ht="15">
      <c r="A27" s="133">
        <f t="shared" si="7"/>
        <v>15</v>
      </c>
      <c r="B27" s="201" t="s">
        <v>608</v>
      </c>
      <c r="C27" s="295">
        <v>206.80563384125537</v>
      </c>
      <c r="D27" s="295">
        <v>254.71</v>
      </c>
      <c r="E27" s="402">
        <f t="shared" si="0"/>
        <v>461.5156338412554</v>
      </c>
      <c r="F27" s="295">
        <v>29.994998862861042</v>
      </c>
      <c r="G27" s="295">
        <v>19.147391858085058</v>
      </c>
      <c r="H27" s="402">
        <f t="shared" si="1"/>
        <v>49.142390720946096</v>
      </c>
      <c r="I27" s="295">
        <v>217.82003675233113</v>
      </c>
      <c r="J27" s="295">
        <v>250.17917671139415</v>
      </c>
      <c r="K27" s="402">
        <f t="shared" si="2"/>
        <v>467.99921346372525</v>
      </c>
      <c r="L27" s="295">
        <v>195.3565425</v>
      </c>
      <c r="M27" s="295">
        <v>235.37567249999995</v>
      </c>
      <c r="N27" s="402">
        <f t="shared" si="3"/>
        <v>430.73221499999994</v>
      </c>
      <c r="O27" s="402">
        <f t="shared" si="4"/>
        <v>52.4584931151922</v>
      </c>
      <c r="P27" s="295">
        <f t="shared" si="5"/>
        <v>33.950896069479256</v>
      </c>
      <c r="Q27" s="295">
        <f t="shared" si="6"/>
        <v>86.4093891846714</v>
      </c>
      <c r="R27" s="36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</row>
    <row r="28" spans="1:29" ht="15">
      <c r="A28" s="133">
        <f t="shared" si="7"/>
        <v>16</v>
      </c>
      <c r="B28" s="201" t="s">
        <v>609</v>
      </c>
      <c r="C28" s="295">
        <v>219.51282956247596</v>
      </c>
      <c r="D28" s="295">
        <v>267.52</v>
      </c>
      <c r="E28" s="402">
        <f t="shared" si="0"/>
        <v>487.03282956247597</v>
      </c>
      <c r="F28" s="295">
        <v>31.838044983648725</v>
      </c>
      <c r="G28" s="295">
        <v>20.32390553120074</v>
      </c>
      <c r="H28" s="402">
        <f t="shared" si="1"/>
        <v>52.161950514849465</v>
      </c>
      <c r="I28" s="295">
        <v>231.2040137146801</v>
      </c>
      <c r="J28" s="295">
        <v>265.5514647134018</v>
      </c>
      <c r="K28" s="402">
        <f t="shared" si="2"/>
        <v>496.7554784280819</v>
      </c>
      <c r="L28" s="295">
        <v>207.3602475</v>
      </c>
      <c r="M28" s="295">
        <v>249.83835749999997</v>
      </c>
      <c r="N28" s="402">
        <f t="shared" si="3"/>
        <v>457.198605</v>
      </c>
      <c r="O28" s="402">
        <f t="shared" si="4"/>
        <v>55.681811198328774</v>
      </c>
      <c r="P28" s="295">
        <f t="shared" si="5"/>
        <v>36.03701274460258</v>
      </c>
      <c r="Q28" s="295">
        <f t="shared" si="6"/>
        <v>91.71882394293135</v>
      </c>
      <c r="R28" s="36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</row>
    <row r="29" spans="1:29" ht="15">
      <c r="A29" s="133">
        <f t="shared" si="7"/>
        <v>17</v>
      </c>
      <c r="B29" s="201" t="s">
        <v>610</v>
      </c>
      <c r="C29" s="295">
        <v>170.31883889485778</v>
      </c>
      <c r="D29" s="295">
        <v>211.75</v>
      </c>
      <c r="E29" s="295">
        <f t="shared" si="0"/>
        <v>382.0688388948578</v>
      </c>
      <c r="F29" s="295">
        <v>24.702970050112537</v>
      </c>
      <c r="G29" s="295">
        <v>15.769210386391974</v>
      </c>
      <c r="H29" s="295">
        <f t="shared" si="1"/>
        <v>40.47218043650451</v>
      </c>
      <c r="I29" s="295">
        <v>179.38996660105244</v>
      </c>
      <c r="J29" s="295">
        <v>206.03997145389098</v>
      </c>
      <c r="K29" s="295">
        <f t="shared" si="2"/>
        <v>385.4299380549434</v>
      </c>
      <c r="L29" s="295">
        <v>160.889715</v>
      </c>
      <c r="M29" s="295">
        <v>193.848255</v>
      </c>
      <c r="N29" s="295">
        <f t="shared" si="3"/>
        <v>354.73797</v>
      </c>
      <c r="O29" s="295">
        <f t="shared" si="4"/>
        <v>43.20322165116497</v>
      </c>
      <c r="P29" s="295">
        <f t="shared" si="5"/>
        <v>27.96092684028295</v>
      </c>
      <c r="Q29" s="295">
        <f t="shared" si="6"/>
        <v>71.16414849144792</v>
      </c>
      <c r="R29" s="36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</row>
    <row r="30" spans="1:29" ht="15">
      <c r="A30" s="133">
        <f t="shared" si="7"/>
        <v>18</v>
      </c>
      <c r="B30" s="201" t="s">
        <v>611</v>
      </c>
      <c r="C30" s="295">
        <v>276.96031174860605</v>
      </c>
      <c r="D30" s="295">
        <v>337.17</v>
      </c>
      <c r="E30" s="295">
        <f t="shared" si="0"/>
        <v>614.1303117486061</v>
      </c>
      <c r="F30" s="295">
        <v>40.1702027244281</v>
      </c>
      <c r="G30" s="295">
        <v>25.642761851732764</v>
      </c>
      <c r="H30" s="295">
        <f t="shared" si="1"/>
        <v>65.81296457616087</v>
      </c>
      <c r="I30" s="295">
        <v>291.7111307051046</v>
      </c>
      <c r="J30" s="295">
        <v>335.04746214111503</v>
      </c>
      <c r="K30" s="295">
        <f t="shared" si="2"/>
        <v>626.7585928462197</v>
      </c>
      <c r="L30" s="295">
        <v>261.627345</v>
      </c>
      <c r="M30" s="295">
        <v>315.22216499999996</v>
      </c>
      <c r="N30" s="295">
        <f t="shared" si="3"/>
        <v>576.84951</v>
      </c>
      <c r="O30" s="295">
        <f t="shared" si="4"/>
        <v>70.25398842953274</v>
      </c>
      <c r="P30" s="295">
        <f t="shared" si="5"/>
        <v>45.46805899284783</v>
      </c>
      <c r="Q30" s="295">
        <f t="shared" si="6"/>
        <v>115.72204742238057</v>
      </c>
      <c r="R30" s="36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</row>
    <row r="31" spans="1:29" ht="15">
      <c r="A31" s="133">
        <f t="shared" si="7"/>
        <v>19</v>
      </c>
      <c r="B31" s="201" t="s">
        <v>637</v>
      </c>
      <c r="C31" s="295">
        <v>124.7567379639723</v>
      </c>
      <c r="D31" s="295">
        <v>156.69</v>
      </c>
      <c r="E31" s="295">
        <f t="shared" si="0"/>
        <v>281.4467379639723</v>
      </c>
      <c r="F31" s="295">
        <v>18.094662818692996</v>
      </c>
      <c r="G31" s="295">
        <v>11.550778885290127</v>
      </c>
      <c r="H31" s="295">
        <f t="shared" si="1"/>
        <v>29.645441703983124</v>
      </c>
      <c r="I31" s="295">
        <v>131.40124252742856</v>
      </c>
      <c r="J31" s="295">
        <v>150.92208763028086</v>
      </c>
      <c r="K31" s="295">
        <f t="shared" si="2"/>
        <v>282.3233301577094</v>
      </c>
      <c r="L31" s="295">
        <v>117.850005</v>
      </c>
      <c r="M31" s="295">
        <v>141.991785</v>
      </c>
      <c r="N31" s="295">
        <f t="shared" si="3"/>
        <v>259.84179</v>
      </c>
      <c r="O31" s="295">
        <f t="shared" si="4"/>
        <v>31.645900346121564</v>
      </c>
      <c r="P31" s="295">
        <f t="shared" si="5"/>
        <v>20.48108151557099</v>
      </c>
      <c r="Q31" s="295">
        <f t="shared" si="6"/>
        <v>52.126981861692514</v>
      </c>
      <c r="R31" s="36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</row>
    <row r="32" spans="1:29" ht="15">
      <c r="A32" s="133">
        <f t="shared" si="7"/>
        <v>20</v>
      </c>
      <c r="B32" s="201" t="s">
        <v>612</v>
      </c>
      <c r="C32" s="295">
        <v>272.2856896786994</v>
      </c>
      <c r="D32" s="295">
        <v>338.74</v>
      </c>
      <c r="E32" s="295">
        <f t="shared" si="0"/>
        <v>611.0256896786993</v>
      </c>
      <c r="F32" s="295">
        <v>39.492197579854604</v>
      </c>
      <c r="G32" s="295">
        <v>25.209955361414128</v>
      </c>
      <c r="H32" s="295">
        <f t="shared" si="1"/>
        <v>64.70215294126874</v>
      </c>
      <c r="I32" s="295">
        <v>286.7875397363406</v>
      </c>
      <c r="J32" s="295">
        <v>329.39242712507746</v>
      </c>
      <c r="K32" s="295">
        <f t="shared" si="2"/>
        <v>616.179966861418</v>
      </c>
      <c r="L32" s="295">
        <v>257.2115175</v>
      </c>
      <c r="M32" s="295">
        <v>309.90174749999994</v>
      </c>
      <c r="N32" s="295">
        <f t="shared" si="3"/>
        <v>567.113265</v>
      </c>
      <c r="O32" s="295">
        <f t="shared" si="4"/>
        <v>69.06821981619521</v>
      </c>
      <c r="P32" s="295">
        <f t="shared" si="5"/>
        <v>44.70063498649165</v>
      </c>
      <c r="Q32" s="295">
        <f t="shared" si="6"/>
        <v>113.76885480268686</v>
      </c>
      <c r="R32" s="36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</row>
    <row r="33" spans="1:29" ht="15">
      <c r="A33" s="133">
        <f t="shared" si="7"/>
        <v>21</v>
      </c>
      <c r="B33" s="201" t="s">
        <v>613</v>
      </c>
      <c r="C33" s="295">
        <v>92.8385245112263</v>
      </c>
      <c r="D33" s="295">
        <v>120.44</v>
      </c>
      <c r="E33" s="295">
        <f t="shared" si="0"/>
        <v>213.2785245112263</v>
      </c>
      <c r="F33" s="295">
        <v>13.46525907162407</v>
      </c>
      <c r="G33" s="295">
        <v>8.595585987311098</v>
      </c>
      <c r="H33" s="295">
        <f t="shared" si="1"/>
        <v>22.06084505893517</v>
      </c>
      <c r="I33" s="295">
        <v>97.78307508097214</v>
      </c>
      <c r="J33" s="295">
        <v>112.30963682134372</v>
      </c>
      <c r="K33" s="295">
        <f t="shared" si="2"/>
        <v>210.09271190231584</v>
      </c>
      <c r="L33" s="295">
        <v>87.698835</v>
      </c>
      <c r="M33" s="295">
        <v>105.664095</v>
      </c>
      <c r="N33" s="295">
        <f t="shared" si="3"/>
        <v>193.36293</v>
      </c>
      <c r="O33" s="295">
        <f t="shared" si="4"/>
        <v>23.549499152596212</v>
      </c>
      <c r="P33" s="295">
        <f t="shared" si="5"/>
        <v>15.24112780865481</v>
      </c>
      <c r="Q33" s="295">
        <f t="shared" si="6"/>
        <v>38.79062696125101</v>
      </c>
      <c r="R33" s="36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</row>
    <row r="34" spans="1:29" ht="15">
      <c r="A34" s="133">
        <f t="shared" si="7"/>
        <v>22</v>
      </c>
      <c r="B34" s="201" t="s">
        <v>614</v>
      </c>
      <c r="C34" s="295">
        <v>85.34499045587508</v>
      </c>
      <c r="D34" s="295">
        <v>106.69</v>
      </c>
      <c r="E34" s="295">
        <f t="shared" si="0"/>
        <v>192.03499045587506</v>
      </c>
      <c r="F34" s="295">
        <v>12.378400163120624</v>
      </c>
      <c r="G34" s="295">
        <v>7.901786547254005</v>
      </c>
      <c r="H34" s="295">
        <f t="shared" si="1"/>
        <v>20.28018671037463</v>
      </c>
      <c r="I34" s="295">
        <v>89.89043776242423</v>
      </c>
      <c r="J34" s="295">
        <v>103.24447672002071</v>
      </c>
      <c r="K34" s="295">
        <f t="shared" si="2"/>
        <v>193.13491448244494</v>
      </c>
      <c r="L34" s="295">
        <v>80.620155</v>
      </c>
      <c r="M34" s="295">
        <v>97.13533499999998</v>
      </c>
      <c r="N34" s="295">
        <f t="shared" si="3"/>
        <v>177.75548999999998</v>
      </c>
      <c r="O34" s="295">
        <f t="shared" si="4"/>
        <v>21.64868292554486</v>
      </c>
      <c r="P34" s="295">
        <f t="shared" si="5"/>
        <v>14.010928267274736</v>
      </c>
      <c r="Q34" s="295">
        <f t="shared" si="6"/>
        <v>35.6596111928196</v>
      </c>
      <c r="R34" s="36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</row>
    <row r="35" spans="1:29" ht="15">
      <c r="A35" s="133">
        <f t="shared" si="7"/>
        <v>23</v>
      </c>
      <c r="B35" s="201" t="s">
        <v>615</v>
      </c>
      <c r="C35" s="295">
        <v>397.29869236862123</v>
      </c>
      <c r="D35" s="295">
        <v>481.75</v>
      </c>
      <c r="E35" s="295">
        <f t="shared" si="0"/>
        <v>879.0486923686212</v>
      </c>
      <c r="F35" s="295">
        <v>57.62402892254123</v>
      </c>
      <c r="G35" s="295">
        <v>36.78446087849866</v>
      </c>
      <c r="H35" s="295">
        <f t="shared" si="1"/>
        <v>94.40848980103989</v>
      </c>
      <c r="I35" s="295">
        <v>418.45869556829496</v>
      </c>
      <c r="J35" s="295">
        <v>480.62452612674787</v>
      </c>
      <c r="K35" s="295">
        <f t="shared" si="2"/>
        <v>899.0832216950428</v>
      </c>
      <c r="L35" s="295">
        <v>375.3036</v>
      </c>
      <c r="M35" s="295">
        <v>452.18519999999995</v>
      </c>
      <c r="N35" s="295">
        <f t="shared" si="3"/>
        <v>827.4888</v>
      </c>
      <c r="O35" s="295">
        <f t="shared" si="4"/>
        <v>100.77912449083618</v>
      </c>
      <c r="P35" s="295">
        <f t="shared" si="5"/>
        <v>65.2237870052466</v>
      </c>
      <c r="Q35" s="295">
        <f t="shared" si="6"/>
        <v>166.00291149608267</v>
      </c>
      <c r="R35" s="36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</row>
    <row r="36" spans="1:29" ht="15">
      <c r="A36" s="133">
        <f t="shared" si="7"/>
        <v>24</v>
      </c>
      <c r="B36" s="201" t="s">
        <v>616</v>
      </c>
      <c r="C36" s="295">
        <v>292.0445837208755</v>
      </c>
      <c r="D36" s="295">
        <v>362.94</v>
      </c>
      <c r="E36" s="295">
        <f t="shared" si="0"/>
        <v>654.9845837208754</v>
      </c>
      <c r="F36" s="295">
        <v>42.35801894708774</v>
      </c>
      <c r="G36" s="295">
        <v>27.039360488734484</v>
      </c>
      <c r="H36" s="295">
        <f t="shared" si="1"/>
        <v>69.39737943582223</v>
      </c>
      <c r="I36" s="295">
        <v>307.59878625081365</v>
      </c>
      <c r="J36" s="295">
        <v>353.29537286394327</v>
      </c>
      <c r="K36" s="295">
        <f t="shared" si="2"/>
        <v>660.8941591147569</v>
      </c>
      <c r="L36" s="295">
        <v>275.8765275</v>
      </c>
      <c r="M36" s="295">
        <v>332.3903175</v>
      </c>
      <c r="N36" s="295">
        <f t="shared" si="3"/>
        <v>608.266845</v>
      </c>
      <c r="O36" s="295">
        <f t="shared" si="4"/>
        <v>74.08027769790141</v>
      </c>
      <c r="P36" s="295">
        <f t="shared" si="5"/>
        <v>47.944415852677764</v>
      </c>
      <c r="Q36" s="295">
        <f t="shared" si="6"/>
        <v>122.02469355057917</v>
      </c>
      <c r="R36" s="36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</row>
    <row r="37" spans="1:29" ht="15">
      <c r="A37" s="133">
        <f t="shared" si="7"/>
        <v>25</v>
      </c>
      <c r="B37" s="201" t="s">
        <v>617</v>
      </c>
      <c r="C37" s="295">
        <v>221.72200823445448</v>
      </c>
      <c r="D37" s="295">
        <v>276.55</v>
      </c>
      <c r="E37" s="295">
        <f t="shared" si="0"/>
        <v>498.27200823445446</v>
      </c>
      <c r="F37" s="295">
        <v>32.15846329393865</v>
      </c>
      <c r="G37" s="295">
        <v>20.528445460462855</v>
      </c>
      <c r="H37" s="295">
        <f t="shared" si="1"/>
        <v>52.68690875440151</v>
      </c>
      <c r="I37" s="295">
        <v>233.53085254679917</v>
      </c>
      <c r="J37" s="295">
        <v>268.2239765357258</v>
      </c>
      <c r="K37" s="295">
        <f t="shared" si="2"/>
        <v>501.75482908252496</v>
      </c>
      <c r="L37" s="295">
        <v>209.4471225</v>
      </c>
      <c r="M37" s="295">
        <v>252.35273249999997</v>
      </c>
      <c r="N37" s="295">
        <f t="shared" si="3"/>
        <v>461.799855</v>
      </c>
      <c r="O37" s="295">
        <f t="shared" si="4"/>
        <v>56.24219334073783</v>
      </c>
      <c r="P37" s="295">
        <f t="shared" si="5"/>
        <v>36.3996894961887</v>
      </c>
      <c r="Q37" s="295">
        <f t="shared" si="6"/>
        <v>92.64188283692647</v>
      </c>
      <c r="R37" s="36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</row>
    <row r="38" spans="1:29" ht="15">
      <c r="A38" s="133">
        <f t="shared" si="7"/>
        <v>26</v>
      </c>
      <c r="B38" s="201" t="s">
        <v>618</v>
      </c>
      <c r="C38" s="295">
        <v>166.45719457623926</v>
      </c>
      <c r="D38" s="295">
        <v>198.97</v>
      </c>
      <c r="E38" s="295">
        <f t="shared" si="0"/>
        <v>365.42719457623923</v>
      </c>
      <c r="F38" s="295">
        <v>24.142878843725736</v>
      </c>
      <c r="G38" s="295">
        <v>15.4116745900418</v>
      </c>
      <c r="H38" s="295">
        <f t="shared" si="1"/>
        <v>39.55455343376754</v>
      </c>
      <c r="I38" s="295">
        <v>175.32265232250828</v>
      </c>
      <c r="J38" s="295">
        <v>201.36842078846863</v>
      </c>
      <c r="K38" s="295">
        <f t="shared" si="2"/>
        <v>376.6910731109769</v>
      </c>
      <c r="L38" s="295">
        <v>157.2418575</v>
      </c>
      <c r="M38" s="295">
        <v>189.4531275</v>
      </c>
      <c r="N38" s="295">
        <f t="shared" si="3"/>
        <v>346.694985</v>
      </c>
      <c r="O38" s="295">
        <f t="shared" si="4"/>
        <v>42.22367366623399</v>
      </c>
      <c r="P38" s="295">
        <f t="shared" si="5"/>
        <v>27.32696787851043</v>
      </c>
      <c r="Q38" s="295">
        <f t="shared" si="6"/>
        <v>69.55064154474445</v>
      </c>
      <c r="R38" s="36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</row>
    <row r="39" spans="1:29" ht="15">
      <c r="A39" s="133">
        <f t="shared" si="7"/>
        <v>27</v>
      </c>
      <c r="B39" s="201" t="s">
        <v>619</v>
      </c>
      <c r="C39" s="295">
        <v>247.0833793887682</v>
      </c>
      <c r="D39" s="295">
        <v>299.63</v>
      </c>
      <c r="E39" s="295">
        <f t="shared" si="0"/>
        <v>546.7133793887682</v>
      </c>
      <c r="F39" s="295">
        <v>35.83686549606706</v>
      </c>
      <c r="G39" s="295">
        <v>22.87656384839193</v>
      </c>
      <c r="H39" s="295">
        <f t="shared" si="1"/>
        <v>58.71342934445899</v>
      </c>
      <c r="I39" s="295">
        <v>260.2429623395262</v>
      </c>
      <c r="J39" s="295">
        <v>298.9044122560053</v>
      </c>
      <c r="K39" s="295">
        <f t="shared" si="2"/>
        <v>559.1473745955315</v>
      </c>
      <c r="L39" s="295">
        <v>233.4044475</v>
      </c>
      <c r="M39" s="295">
        <v>281.2177575</v>
      </c>
      <c r="N39" s="295">
        <f t="shared" si="3"/>
        <v>514.622205</v>
      </c>
      <c r="O39" s="295">
        <f t="shared" si="4"/>
        <v>62.67538033559322</v>
      </c>
      <c r="P39" s="295">
        <f t="shared" si="5"/>
        <v>40.56321860439721</v>
      </c>
      <c r="Q39" s="295">
        <f t="shared" si="6"/>
        <v>103.23859893999042</v>
      </c>
      <c r="R39" s="36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</row>
    <row r="40" spans="1:29" ht="15">
      <c r="A40" s="133">
        <f t="shared" si="7"/>
        <v>28</v>
      </c>
      <c r="B40" s="143" t="s">
        <v>620</v>
      </c>
      <c r="C40" s="295">
        <v>114.44429192317645</v>
      </c>
      <c r="D40" s="295">
        <v>146.07</v>
      </c>
      <c r="E40" s="295">
        <f t="shared" si="0"/>
        <v>260.5142919231764</v>
      </c>
      <c r="F40" s="295">
        <v>16.598950146259597</v>
      </c>
      <c r="G40" s="295">
        <v>10.595986495494577</v>
      </c>
      <c r="H40" s="295">
        <f t="shared" si="1"/>
        <v>27.194936641754175</v>
      </c>
      <c r="I40" s="295">
        <v>120.53955885909672</v>
      </c>
      <c r="J40" s="295">
        <v>138.44680244367242</v>
      </c>
      <c r="K40" s="295">
        <f t="shared" si="2"/>
        <v>258.9863613027691</v>
      </c>
      <c r="L40" s="295">
        <v>108.1084725</v>
      </c>
      <c r="M40" s="295">
        <v>130.25468249999997</v>
      </c>
      <c r="N40" s="295">
        <f t="shared" si="3"/>
        <v>238.36315499999998</v>
      </c>
      <c r="O40" s="295">
        <f t="shared" si="4"/>
        <v>29.030036505356293</v>
      </c>
      <c r="P40" s="295">
        <f t="shared" si="5"/>
        <v>18.788106439167024</v>
      </c>
      <c r="Q40" s="295">
        <f t="shared" si="6"/>
        <v>47.818142944523316</v>
      </c>
      <c r="R40" s="36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</row>
    <row r="41" spans="1:29" ht="15">
      <c r="A41" s="133">
        <f t="shared" si="7"/>
        <v>29</v>
      </c>
      <c r="B41" s="143" t="s">
        <v>621</v>
      </c>
      <c r="C41" s="295">
        <v>88.86200290166492</v>
      </c>
      <c r="D41" s="295">
        <v>109.8</v>
      </c>
      <c r="E41" s="295">
        <f t="shared" si="0"/>
        <v>198.66200290166492</v>
      </c>
      <c r="F41" s="295">
        <v>12.888506113102192</v>
      </c>
      <c r="G41" s="295">
        <v>8.227414114639291</v>
      </c>
      <c r="H41" s="295">
        <f t="shared" si="1"/>
        <v>21.115920227741483</v>
      </c>
      <c r="I41" s="295">
        <v>93.5947651831578</v>
      </c>
      <c r="J41" s="295">
        <v>107.49911554116052</v>
      </c>
      <c r="K41" s="295">
        <f t="shared" si="2"/>
        <v>201.09388072431832</v>
      </c>
      <c r="L41" s="295">
        <v>83.94246</v>
      </c>
      <c r="M41" s="295">
        <v>101.13822</v>
      </c>
      <c r="N41" s="295">
        <f t="shared" si="3"/>
        <v>185.08068</v>
      </c>
      <c r="O41" s="295">
        <f t="shared" si="4"/>
        <v>22.540811296260003</v>
      </c>
      <c r="P41" s="295">
        <f t="shared" si="5"/>
        <v>14.588309655799804</v>
      </c>
      <c r="Q41" s="295">
        <f t="shared" si="6"/>
        <v>37.12912095205982</v>
      </c>
      <c r="R41" s="36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</row>
    <row r="42" spans="1:29" ht="15">
      <c r="A42" s="133">
        <f t="shared" si="7"/>
        <v>30</v>
      </c>
      <c r="B42" s="143" t="s">
        <v>622</v>
      </c>
      <c r="C42" s="295">
        <v>117.67852949895304</v>
      </c>
      <c r="D42" s="295">
        <v>143.88</v>
      </c>
      <c r="E42" s="295">
        <f t="shared" si="0"/>
        <v>261.558529498953</v>
      </c>
      <c r="F42" s="295">
        <v>17.068042552524055</v>
      </c>
      <c r="G42" s="295">
        <v>10.895432951934312</v>
      </c>
      <c r="H42" s="295">
        <f t="shared" si="1"/>
        <v>27.963475504458366</v>
      </c>
      <c r="I42" s="295">
        <v>123.94605090931906</v>
      </c>
      <c r="J42" s="295">
        <v>142.35935975155473</v>
      </c>
      <c r="K42" s="295">
        <f t="shared" si="2"/>
        <v>266.3054106608738</v>
      </c>
      <c r="L42" s="295">
        <v>111.1636575</v>
      </c>
      <c r="M42" s="295">
        <v>133.9357275</v>
      </c>
      <c r="N42" s="295">
        <f t="shared" si="3"/>
        <v>245.099385</v>
      </c>
      <c r="O42" s="295">
        <f t="shared" si="4"/>
        <v>29.850435961843118</v>
      </c>
      <c r="P42" s="295">
        <f t="shared" si="5"/>
        <v>19.319065203489032</v>
      </c>
      <c r="Q42" s="295">
        <f t="shared" si="6"/>
        <v>49.16950116533215</v>
      </c>
      <c r="R42" s="36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</row>
    <row r="43" spans="1:29" ht="15">
      <c r="A43" s="133">
        <f t="shared" si="7"/>
        <v>31</v>
      </c>
      <c r="B43" s="143" t="s">
        <v>623</v>
      </c>
      <c r="C43" s="295">
        <v>130.2531744998549</v>
      </c>
      <c r="D43" s="295">
        <v>166.52</v>
      </c>
      <c r="E43" s="295">
        <f t="shared" si="0"/>
        <v>296.7731744998549</v>
      </c>
      <c r="F43" s="295">
        <v>18.891863574694344</v>
      </c>
      <c r="G43" s="295">
        <v>12.059674229294268</v>
      </c>
      <c r="H43" s="295">
        <f t="shared" si="1"/>
        <v>30.951537803988614</v>
      </c>
      <c r="I43" s="295">
        <v>137.19041754174086</v>
      </c>
      <c r="J43" s="295">
        <v>157.57129704422294</v>
      </c>
      <c r="K43" s="295">
        <f t="shared" si="2"/>
        <v>294.7617145859638</v>
      </c>
      <c r="L43" s="295">
        <v>123.04215</v>
      </c>
      <c r="M43" s="295">
        <v>148.24755</v>
      </c>
      <c r="N43" s="295">
        <f t="shared" si="3"/>
        <v>271.2897</v>
      </c>
      <c r="O43" s="295">
        <f t="shared" si="4"/>
        <v>33.040131116435205</v>
      </c>
      <c r="P43" s="295">
        <f t="shared" si="5"/>
        <v>21.38342127351723</v>
      </c>
      <c r="Q43" s="295">
        <f t="shared" si="6"/>
        <v>54.42355238995242</v>
      </c>
      <c r="R43" s="36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</row>
    <row r="44" spans="1:18" ht="12.75">
      <c r="A44" s="150"/>
      <c r="B44" s="150" t="s">
        <v>624</v>
      </c>
      <c r="C44" s="279">
        <f>SUM(C13:C43)</f>
        <v>5633.979999999999</v>
      </c>
      <c r="D44" s="279">
        <f aca="true" t="shared" si="8" ref="D44:Q44">SUM(D13:D43)</f>
        <v>6985.53</v>
      </c>
      <c r="E44" s="279">
        <f t="shared" si="8"/>
        <v>12619.51</v>
      </c>
      <c r="F44" s="279">
        <f t="shared" si="8"/>
        <v>817.15</v>
      </c>
      <c r="G44" s="279">
        <f t="shared" si="8"/>
        <v>521.63</v>
      </c>
      <c r="H44" s="279">
        <f t="shared" si="8"/>
        <v>1338.7799999999997</v>
      </c>
      <c r="I44" s="279">
        <f t="shared" si="8"/>
        <v>5934.044000000001</v>
      </c>
      <c r="J44" s="279">
        <f t="shared" si="8"/>
        <v>6815.5999999999985</v>
      </c>
      <c r="K44" s="279">
        <f t="shared" si="8"/>
        <v>12749.644</v>
      </c>
      <c r="L44" s="279">
        <f t="shared" si="8"/>
        <v>5322.073837500001</v>
      </c>
      <c r="M44" s="279">
        <f t="shared" si="8"/>
        <v>6412.309987499998</v>
      </c>
      <c r="N44" s="279">
        <f>SUM(N13:N43)</f>
        <v>11734.383824999995</v>
      </c>
      <c r="O44" s="279">
        <f t="shared" si="8"/>
        <v>1429.1201625</v>
      </c>
      <c r="P44" s="279">
        <f t="shared" si="8"/>
        <v>924.9200125000008</v>
      </c>
      <c r="Q44" s="279">
        <f t="shared" si="8"/>
        <v>2354.040175000001</v>
      </c>
      <c r="R44" s="337"/>
    </row>
    <row r="45" spans="1:17" ht="12.75">
      <c r="A45" s="3"/>
      <c r="B45" s="18"/>
      <c r="C45" s="18"/>
      <c r="D45" s="1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4.25" customHeight="1">
      <c r="A46" s="707" t="s">
        <v>586</v>
      </c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</row>
    <row r="47" spans="1:17" s="328" customFormat="1" ht="15.75" customHeight="1">
      <c r="A47" s="326"/>
      <c r="B47" s="327"/>
      <c r="C47" s="327"/>
      <c r="D47" s="327"/>
      <c r="E47" s="327"/>
      <c r="F47" s="330"/>
      <c r="G47" s="330"/>
      <c r="H47" s="327"/>
      <c r="I47" s="327"/>
      <c r="J47" s="327"/>
      <c r="K47" s="327"/>
      <c r="L47" s="327"/>
      <c r="M47" s="327"/>
      <c r="N47" s="327"/>
      <c r="O47" s="327"/>
      <c r="P47" s="327"/>
      <c r="Q47" s="327"/>
    </row>
    <row r="49" spans="13:17" ht="15.75">
      <c r="M49" s="621" t="s">
        <v>860</v>
      </c>
      <c r="N49" s="621"/>
      <c r="O49" s="621"/>
      <c r="P49" s="621"/>
      <c r="Q49" s="621"/>
    </row>
    <row r="50" spans="13:17" ht="15.75">
      <c r="M50" s="621" t="s">
        <v>653</v>
      </c>
      <c r="N50" s="621"/>
      <c r="O50" s="621"/>
      <c r="P50" s="621"/>
      <c r="Q50" s="621"/>
    </row>
  </sheetData>
  <sheetProtection/>
  <mergeCells count="17">
    <mergeCell ref="M50:Q50"/>
    <mergeCell ref="A6:Q6"/>
    <mergeCell ref="N9:Q9"/>
    <mergeCell ref="A10:A11"/>
    <mergeCell ref="M49:Q49"/>
    <mergeCell ref="B10:B11"/>
    <mergeCell ref="C10:E10"/>
    <mergeCell ref="F10:H10"/>
    <mergeCell ref="A46:Q46"/>
    <mergeCell ref="R1:R10"/>
    <mergeCell ref="I10:K10"/>
    <mergeCell ref="L10:N10"/>
    <mergeCell ref="O10:Q10"/>
    <mergeCell ref="A8:B8"/>
    <mergeCell ref="P1:Q1"/>
    <mergeCell ref="A2:Q2"/>
    <mergeCell ref="A3:Q3"/>
  </mergeCells>
  <printOptions horizontalCentered="1"/>
  <pageMargins left="0.47" right="0.51" top="0.43" bottom="0" header="0.31496062992125984" footer="0.31496062992125984"/>
  <pageSetup fitToHeight="1" fitToWidth="1"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view="pageBreakPreview" zoomScale="55" zoomScaleNormal="70" zoomScaleSheetLayoutView="55" zoomScalePageLayoutView="0" workbookViewId="0" topLeftCell="A6">
      <selection activeCell="P23" sqref="P23"/>
    </sheetView>
  </sheetViews>
  <sheetFormatPr defaultColWidth="9.140625" defaultRowHeight="12.75"/>
  <cols>
    <col min="1" max="1" width="9.28125" style="6" bestFit="1" customWidth="1"/>
    <col min="2" max="2" width="22.00390625" style="6" customWidth="1"/>
    <col min="3" max="3" width="14.7109375" style="6" customWidth="1"/>
    <col min="4" max="4" width="11.28125" style="6" customWidth="1"/>
    <col min="5" max="5" width="12.421875" style="6" customWidth="1"/>
    <col min="6" max="6" width="12.00390625" style="6" customWidth="1"/>
    <col min="7" max="7" width="13.140625" style="6" customWidth="1"/>
    <col min="8" max="10" width="9.28125" style="6" bestFit="1" customWidth="1"/>
    <col min="11" max="12" width="9.8515625" style="6" bestFit="1" customWidth="1"/>
    <col min="13" max="14" width="10.140625" style="6" bestFit="1" customWidth="1"/>
    <col min="15" max="16" width="9.8515625" style="6" bestFit="1" customWidth="1"/>
    <col min="17" max="19" width="9.28125" style="6" bestFit="1" customWidth="1"/>
    <col min="20" max="20" width="10.421875" style="6" customWidth="1"/>
    <col min="21" max="21" width="11.140625" style="6" customWidth="1"/>
    <col min="22" max="22" width="11.8515625" style="6" customWidth="1"/>
    <col min="23" max="16384" width="9.140625" style="6" customWidth="1"/>
  </cols>
  <sheetData>
    <row r="1" spans="20:22" ht="15">
      <c r="T1" s="709" t="s">
        <v>61</v>
      </c>
      <c r="U1" s="709"/>
      <c r="V1" s="709"/>
    </row>
    <row r="3" spans="1:22" ht="15.75">
      <c r="A3" s="562" t="s">
        <v>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</row>
    <row r="4" spans="1:22" ht="20.25">
      <c r="A4" s="623" t="s">
        <v>695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</row>
    <row r="5" spans="1:17" ht="15.75">
      <c r="A5" s="710" t="s">
        <v>667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</row>
    <row r="6" spans="1:21" ht="12.75">
      <c r="A6" s="21"/>
      <c r="B6" s="21"/>
      <c r="C6" s="7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U6" s="21"/>
    </row>
    <row r="8" spans="1:22" ht="15.75">
      <c r="A8" s="564" t="s">
        <v>788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</row>
    <row r="9" spans="1:22" ht="15.75">
      <c r="A9" s="157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711"/>
      <c r="Q9" s="711"/>
      <c r="R9" s="711"/>
      <c r="S9" s="711"/>
      <c r="U9" s="155"/>
      <c r="V9" s="5" t="s">
        <v>657</v>
      </c>
    </row>
    <row r="10" spans="20:23" ht="12.75">
      <c r="T10" s="76" t="s">
        <v>750</v>
      </c>
      <c r="U10" s="55"/>
      <c r="V10" s="55"/>
      <c r="W10" s="55"/>
    </row>
    <row r="11" spans="1:22" ht="28.5" customHeight="1">
      <c r="A11" s="713" t="s">
        <v>20</v>
      </c>
      <c r="B11" s="642" t="s">
        <v>200</v>
      </c>
      <c r="C11" s="642" t="s">
        <v>360</v>
      </c>
      <c r="D11" s="642" t="s">
        <v>470</v>
      </c>
      <c r="E11" s="561" t="s">
        <v>724</v>
      </c>
      <c r="F11" s="561"/>
      <c r="G11" s="561"/>
      <c r="H11" s="537" t="s">
        <v>787</v>
      </c>
      <c r="I11" s="538"/>
      <c r="J11" s="539"/>
      <c r="K11" s="701" t="s">
        <v>362</v>
      </c>
      <c r="L11" s="702"/>
      <c r="M11" s="703"/>
      <c r="N11" s="653" t="s">
        <v>152</v>
      </c>
      <c r="O11" s="712"/>
      <c r="P11" s="647"/>
      <c r="Q11" s="530" t="s">
        <v>789</v>
      </c>
      <c r="R11" s="530"/>
      <c r="S11" s="530"/>
      <c r="T11" s="530" t="s">
        <v>243</v>
      </c>
      <c r="U11" s="530" t="s">
        <v>416</v>
      </c>
      <c r="V11" s="530" t="s">
        <v>363</v>
      </c>
    </row>
    <row r="12" spans="1:22" ht="65.25" customHeight="1">
      <c r="A12" s="714"/>
      <c r="B12" s="643"/>
      <c r="C12" s="643"/>
      <c r="D12" s="643"/>
      <c r="E12" s="1" t="s">
        <v>173</v>
      </c>
      <c r="F12" s="1" t="s">
        <v>201</v>
      </c>
      <c r="G12" s="1" t="s">
        <v>16</v>
      </c>
      <c r="H12" s="1" t="s">
        <v>173</v>
      </c>
      <c r="I12" s="1" t="s">
        <v>201</v>
      </c>
      <c r="J12" s="1" t="s">
        <v>16</v>
      </c>
      <c r="K12" s="1" t="s">
        <v>173</v>
      </c>
      <c r="L12" s="1" t="s">
        <v>201</v>
      </c>
      <c r="M12" s="1" t="s">
        <v>16</v>
      </c>
      <c r="N12" s="1" t="s">
        <v>173</v>
      </c>
      <c r="O12" s="1" t="s">
        <v>201</v>
      </c>
      <c r="P12" s="1" t="s">
        <v>16</v>
      </c>
      <c r="Q12" s="1" t="s">
        <v>230</v>
      </c>
      <c r="R12" s="1" t="s">
        <v>212</v>
      </c>
      <c r="S12" s="1" t="s">
        <v>213</v>
      </c>
      <c r="T12" s="530"/>
      <c r="U12" s="530"/>
      <c r="V12" s="530"/>
    </row>
    <row r="13" spans="1:22" ht="12.75">
      <c r="A13" s="75">
        <v>1</v>
      </c>
      <c r="B13" s="48">
        <v>2</v>
      </c>
      <c r="C13" s="143">
        <v>3</v>
      </c>
      <c r="D13" s="48">
        <v>4</v>
      </c>
      <c r="E13" s="48">
        <v>5</v>
      </c>
      <c r="F13" s="143">
        <v>6</v>
      </c>
      <c r="G13" s="48">
        <v>7</v>
      </c>
      <c r="H13" s="48">
        <v>8</v>
      </c>
      <c r="I13" s="143">
        <v>9</v>
      </c>
      <c r="J13" s="48">
        <v>10</v>
      </c>
      <c r="K13" s="48">
        <v>11</v>
      </c>
      <c r="L13" s="143">
        <v>12</v>
      </c>
      <c r="M13" s="48">
        <v>13</v>
      </c>
      <c r="N13" s="48">
        <v>14</v>
      </c>
      <c r="O13" s="143">
        <v>15</v>
      </c>
      <c r="P13" s="48">
        <v>16</v>
      </c>
      <c r="Q13" s="48">
        <v>17</v>
      </c>
      <c r="R13" s="143">
        <v>18</v>
      </c>
      <c r="S13" s="48">
        <v>19</v>
      </c>
      <c r="T13" s="48">
        <v>20</v>
      </c>
      <c r="U13" s="143">
        <v>21</v>
      </c>
      <c r="V13" s="48">
        <v>22</v>
      </c>
    </row>
    <row r="14" spans="1:25" ht="12.75">
      <c r="A14" s="201">
        <v>1</v>
      </c>
      <c r="B14" s="201" t="s">
        <v>633</v>
      </c>
      <c r="C14" s="302">
        <v>1224</v>
      </c>
      <c r="D14" s="304">
        <f>C14</f>
        <v>1224</v>
      </c>
      <c r="E14" s="301">
        <v>73.44</v>
      </c>
      <c r="F14" s="264">
        <v>48.96000000000001</v>
      </c>
      <c r="G14" s="301">
        <f>SUM(E14:F14)</f>
        <v>122.4</v>
      </c>
      <c r="H14" s="301">
        <v>1.7209618727546645</v>
      </c>
      <c r="I14" s="264">
        <v>1.147189709120408</v>
      </c>
      <c r="J14" s="301">
        <f>SUM(H14:I14)</f>
        <v>2.8681515818750727</v>
      </c>
      <c r="K14" s="301">
        <v>73.85</v>
      </c>
      <c r="L14" s="264">
        <v>49.23</v>
      </c>
      <c r="M14" s="301">
        <f>SUM(K14:L14)</f>
        <v>123.07999999999998</v>
      </c>
      <c r="N14" s="501">
        <v>73.44</v>
      </c>
      <c r="O14" s="502">
        <v>48.96</v>
      </c>
      <c r="P14" s="501">
        <f>SUM(N14:O14)</f>
        <v>122.4</v>
      </c>
      <c r="Q14" s="301">
        <f>H14+K14-N14</f>
        <v>2.1309618727546678</v>
      </c>
      <c r="R14" s="301">
        <f>I14+L14-O14</f>
        <v>1.4171897091204073</v>
      </c>
      <c r="S14" s="301">
        <f>J14+M14-P14</f>
        <v>3.5481515818750466</v>
      </c>
      <c r="T14" s="301" t="s">
        <v>659</v>
      </c>
      <c r="U14" s="302">
        <f>D14</f>
        <v>1224</v>
      </c>
      <c r="V14" s="302">
        <f>D14</f>
        <v>1224</v>
      </c>
      <c r="X14" s="347"/>
      <c r="Y14" s="347"/>
    </row>
    <row r="15" spans="1:25" ht="12.75">
      <c r="A15" s="201">
        <f>A14+1</f>
        <v>2</v>
      </c>
      <c r="B15" s="201" t="s">
        <v>598</v>
      </c>
      <c r="C15" s="302">
        <v>1639</v>
      </c>
      <c r="D15" s="304">
        <f aca="true" t="shared" si="0" ref="D15:D44">C15</f>
        <v>1639</v>
      </c>
      <c r="E15" s="301">
        <v>98.33999999999999</v>
      </c>
      <c r="F15" s="264">
        <v>65.55999999999999</v>
      </c>
      <c r="G15" s="301">
        <f aca="true" t="shared" si="1" ref="G15:G44">SUM(E15:F15)</f>
        <v>163.89999999999998</v>
      </c>
      <c r="H15" s="301">
        <v>2.304457932553019</v>
      </c>
      <c r="I15" s="264">
        <v>1.5361470042878664</v>
      </c>
      <c r="J15" s="301">
        <f aca="true" t="shared" si="2" ref="J15:J44">SUM(H15:I15)</f>
        <v>3.8406049368408857</v>
      </c>
      <c r="K15" s="301">
        <v>98.89</v>
      </c>
      <c r="L15" s="264">
        <v>65.93</v>
      </c>
      <c r="M15" s="301">
        <f aca="true" t="shared" si="3" ref="M15:M44">SUM(K15:L15)</f>
        <v>164.82</v>
      </c>
      <c r="N15" s="501">
        <v>98.34</v>
      </c>
      <c r="O15" s="502">
        <v>65.56</v>
      </c>
      <c r="P15" s="501">
        <f aca="true" t="shared" si="4" ref="P15:P44">SUM(N15:O15)</f>
        <v>163.9</v>
      </c>
      <c r="Q15" s="301">
        <f aca="true" t="shared" si="5" ref="Q15:Q44">H15+K15-N15</f>
        <v>2.854457932553018</v>
      </c>
      <c r="R15" s="301">
        <f aca="true" t="shared" si="6" ref="R15:R44">I15+L15-O15</f>
        <v>1.9061470042878739</v>
      </c>
      <c r="S15" s="301">
        <f aca="true" t="shared" si="7" ref="S15:S44">J15+M15-P15</f>
        <v>4.760604936840878</v>
      </c>
      <c r="T15" s="301" t="s">
        <v>659</v>
      </c>
      <c r="U15" s="302">
        <f aca="true" t="shared" si="8" ref="U15:U44">D15</f>
        <v>1639</v>
      </c>
      <c r="V15" s="302">
        <f aca="true" t="shared" si="9" ref="V15:V44">D15</f>
        <v>1639</v>
      </c>
      <c r="X15" s="347"/>
      <c r="Y15" s="347"/>
    </row>
    <row r="16" spans="1:25" ht="12.75">
      <c r="A16" s="201">
        <f aca="true" t="shared" si="10" ref="A16:A44">A15+1</f>
        <v>3</v>
      </c>
      <c r="B16" s="201" t="s">
        <v>634</v>
      </c>
      <c r="C16" s="302">
        <v>876</v>
      </c>
      <c r="D16" s="304">
        <f t="shared" si="0"/>
        <v>876</v>
      </c>
      <c r="E16" s="301">
        <v>52.56</v>
      </c>
      <c r="F16" s="264">
        <v>35.040000000000006</v>
      </c>
      <c r="G16" s="301">
        <f t="shared" si="1"/>
        <v>87.60000000000001</v>
      </c>
      <c r="H16" s="301">
        <v>1.2316687912852011</v>
      </c>
      <c r="I16" s="264">
        <v>0.8210279290763705</v>
      </c>
      <c r="J16" s="301">
        <f t="shared" si="2"/>
        <v>2.0526967203615714</v>
      </c>
      <c r="K16" s="301">
        <v>52.85</v>
      </c>
      <c r="L16" s="264">
        <v>35.24</v>
      </c>
      <c r="M16" s="301">
        <f t="shared" si="3"/>
        <v>88.09</v>
      </c>
      <c r="N16" s="501">
        <v>52.56</v>
      </c>
      <c r="O16" s="502">
        <v>35.04</v>
      </c>
      <c r="P16" s="501">
        <f t="shared" si="4"/>
        <v>87.6</v>
      </c>
      <c r="Q16" s="301">
        <f t="shared" si="5"/>
        <v>1.521668791285201</v>
      </c>
      <c r="R16" s="301">
        <f t="shared" si="6"/>
        <v>1.021027929076375</v>
      </c>
      <c r="S16" s="301">
        <f t="shared" si="7"/>
        <v>2.542696720361576</v>
      </c>
      <c r="T16" s="301" t="s">
        <v>659</v>
      </c>
      <c r="U16" s="302">
        <f t="shared" si="8"/>
        <v>876</v>
      </c>
      <c r="V16" s="302">
        <f t="shared" si="9"/>
        <v>876</v>
      </c>
      <c r="X16" s="347"/>
      <c r="Y16" s="347"/>
    </row>
    <row r="17" spans="1:25" ht="12.75">
      <c r="A17" s="201">
        <f t="shared" si="10"/>
        <v>4</v>
      </c>
      <c r="B17" s="201" t="s">
        <v>599</v>
      </c>
      <c r="C17" s="302">
        <v>798</v>
      </c>
      <c r="D17" s="304">
        <f t="shared" si="0"/>
        <v>798</v>
      </c>
      <c r="E17" s="301">
        <v>47.88</v>
      </c>
      <c r="F17" s="264">
        <v>31.920000000000005</v>
      </c>
      <c r="G17" s="301">
        <f t="shared" si="1"/>
        <v>79.80000000000001</v>
      </c>
      <c r="H17" s="301">
        <v>1.121999652335149</v>
      </c>
      <c r="I17" s="264">
        <v>0.7479227025147759</v>
      </c>
      <c r="J17" s="301">
        <f t="shared" si="2"/>
        <v>1.8699223548499249</v>
      </c>
      <c r="K17" s="301">
        <v>48.15</v>
      </c>
      <c r="L17" s="264">
        <v>32.1</v>
      </c>
      <c r="M17" s="301">
        <f t="shared" si="3"/>
        <v>80.25</v>
      </c>
      <c r="N17" s="501">
        <v>47.88</v>
      </c>
      <c r="O17" s="502">
        <v>31.92</v>
      </c>
      <c r="P17" s="501">
        <f t="shared" si="4"/>
        <v>79.80000000000001</v>
      </c>
      <c r="Q17" s="301">
        <f t="shared" si="5"/>
        <v>1.3919996523351443</v>
      </c>
      <c r="R17" s="301">
        <f t="shared" si="6"/>
        <v>0.9279227025147776</v>
      </c>
      <c r="S17" s="301">
        <f t="shared" si="7"/>
        <v>2.3199223548499077</v>
      </c>
      <c r="T17" s="301" t="s">
        <v>659</v>
      </c>
      <c r="U17" s="302">
        <f t="shared" si="8"/>
        <v>798</v>
      </c>
      <c r="V17" s="302">
        <f t="shared" si="9"/>
        <v>798</v>
      </c>
      <c r="X17" s="347"/>
      <c r="Y17" s="347"/>
    </row>
    <row r="18" spans="1:25" ht="12.75">
      <c r="A18" s="201">
        <f t="shared" si="10"/>
        <v>5</v>
      </c>
      <c r="B18" s="201" t="s">
        <v>600</v>
      </c>
      <c r="C18" s="302">
        <v>600</v>
      </c>
      <c r="D18" s="304">
        <f t="shared" si="0"/>
        <v>600</v>
      </c>
      <c r="E18" s="301">
        <v>36</v>
      </c>
      <c r="F18" s="264">
        <v>24</v>
      </c>
      <c r="G18" s="301">
        <f t="shared" si="1"/>
        <v>60</v>
      </c>
      <c r="H18" s="301">
        <v>0.8436087611542473</v>
      </c>
      <c r="I18" s="264">
        <v>0.562347896627651</v>
      </c>
      <c r="J18" s="301">
        <f t="shared" si="2"/>
        <v>1.4059566577818983</v>
      </c>
      <c r="K18" s="301">
        <v>36.2</v>
      </c>
      <c r="L18" s="264">
        <v>24.13</v>
      </c>
      <c r="M18" s="301">
        <f t="shared" si="3"/>
        <v>60.33</v>
      </c>
      <c r="N18" s="501">
        <v>36</v>
      </c>
      <c r="O18" s="502">
        <v>24</v>
      </c>
      <c r="P18" s="501">
        <f t="shared" si="4"/>
        <v>60</v>
      </c>
      <c r="Q18" s="301">
        <f t="shared" si="5"/>
        <v>1.0436087611542533</v>
      </c>
      <c r="R18" s="301">
        <f t="shared" si="6"/>
        <v>0.6923478966276484</v>
      </c>
      <c r="S18" s="301">
        <f t="shared" si="7"/>
        <v>1.7359566577818981</v>
      </c>
      <c r="T18" s="301" t="s">
        <v>659</v>
      </c>
      <c r="U18" s="302">
        <f t="shared" si="8"/>
        <v>600</v>
      </c>
      <c r="V18" s="302">
        <f t="shared" si="9"/>
        <v>600</v>
      </c>
      <c r="X18" s="347"/>
      <c r="Y18" s="347"/>
    </row>
    <row r="19" spans="1:25" ht="12.75">
      <c r="A19" s="201">
        <f t="shared" si="10"/>
        <v>6</v>
      </c>
      <c r="B19" s="201" t="s">
        <v>601</v>
      </c>
      <c r="C19" s="302">
        <v>862</v>
      </c>
      <c r="D19" s="304">
        <f t="shared" si="0"/>
        <v>862</v>
      </c>
      <c r="E19" s="301">
        <v>51.720000000000006</v>
      </c>
      <c r="F19" s="264">
        <v>34.48000000000001</v>
      </c>
      <c r="G19" s="301">
        <f t="shared" si="1"/>
        <v>86.20000000000002</v>
      </c>
      <c r="H19" s="301">
        <v>1.2119845868582686</v>
      </c>
      <c r="I19" s="264">
        <v>0.8079064781550586</v>
      </c>
      <c r="J19" s="301">
        <f t="shared" si="2"/>
        <v>2.019891065013327</v>
      </c>
      <c r="K19" s="301">
        <v>52.01</v>
      </c>
      <c r="L19" s="264">
        <v>34.67</v>
      </c>
      <c r="M19" s="301">
        <f t="shared" si="3"/>
        <v>86.68</v>
      </c>
      <c r="N19" s="501">
        <v>51.72</v>
      </c>
      <c r="O19" s="502">
        <v>34.48</v>
      </c>
      <c r="P19" s="501">
        <f t="shared" si="4"/>
        <v>86.19999999999999</v>
      </c>
      <c r="Q19" s="301">
        <f t="shared" si="5"/>
        <v>1.5019845868582706</v>
      </c>
      <c r="R19" s="301">
        <f t="shared" si="6"/>
        <v>0.9979064781550662</v>
      </c>
      <c r="S19" s="301">
        <f t="shared" si="7"/>
        <v>2.499891065013344</v>
      </c>
      <c r="T19" s="301" t="s">
        <v>659</v>
      </c>
      <c r="U19" s="302">
        <f t="shared" si="8"/>
        <v>862</v>
      </c>
      <c r="V19" s="302">
        <f t="shared" si="9"/>
        <v>862</v>
      </c>
      <c r="X19" s="347"/>
      <c r="Y19" s="347"/>
    </row>
    <row r="20" spans="1:25" ht="12.75">
      <c r="A20" s="201">
        <f t="shared" si="10"/>
        <v>7</v>
      </c>
      <c r="B20" s="201" t="s">
        <v>602</v>
      </c>
      <c r="C20" s="302">
        <v>802</v>
      </c>
      <c r="D20" s="304">
        <f t="shared" si="0"/>
        <v>802</v>
      </c>
      <c r="E20" s="301">
        <v>48.12</v>
      </c>
      <c r="F20" s="264">
        <v>32.080000000000005</v>
      </c>
      <c r="G20" s="301">
        <f t="shared" si="1"/>
        <v>80.2</v>
      </c>
      <c r="H20" s="301">
        <v>1.1276237107428437</v>
      </c>
      <c r="I20" s="264">
        <v>0.7516716884922935</v>
      </c>
      <c r="J20" s="301">
        <f t="shared" si="2"/>
        <v>1.8792953992351373</v>
      </c>
      <c r="K20" s="301">
        <v>48.39</v>
      </c>
      <c r="L20" s="264">
        <v>32.26</v>
      </c>
      <c r="M20" s="301">
        <f t="shared" si="3"/>
        <v>80.65</v>
      </c>
      <c r="N20" s="501">
        <v>48.12</v>
      </c>
      <c r="O20" s="502">
        <v>32.08</v>
      </c>
      <c r="P20" s="501">
        <f t="shared" si="4"/>
        <v>80.19999999999999</v>
      </c>
      <c r="Q20" s="301">
        <f t="shared" si="5"/>
        <v>1.3976237107428489</v>
      </c>
      <c r="R20" s="301">
        <f t="shared" si="6"/>
        <v>0.931671688492294</v>
      </c>
      <c r="S20" s="301">
        <f t="shared" si="7"/>
        <v>2.32929539923515</v>
      </c>
      <c r="T20" s="301" t="s">
        <v>659</v>
      </c>
      <c r="U20" s="302">
        <f t="shared" si="8"/>
        <v>802</v>
      </c>
      <c r="V20" s="302">
        <f t="shared" si="9"/>
        <v>802</v>
      </c>
      <c r="X20" s="347"/>
      <c r="Y20" s="347"/>
    </row>
    <row r="21" spans="1:25" ht="12.75">
      <c r="A21" s="201">
        <f t="shared" si="10"/>
        <v>8</v>
      </c>
      <c r="B21" s="201" t="s">
        <v>603</v>
      </c>
      <c r="C21" s="302">
        <v>1101</v>
      </c>
      <c r="D21" s="304">
        <f t="shared" si="0"/>
        <v>1101</v>
      </c>
      <c r="E21" s="301">
        <v>66.05999999999999</v>
      </c>
      <c r="F21" s="264">
        <v>44.04</v>
      </c>
      <c r="G21" s="301">
        <f t="shared" si="1"/>
        <v>110.1</v>
      </c>
      <c r="H21" s="301">
        <v>1.5480220767180437</v>
      </c>
      <c r="I21" s="264">
        <v>1.0319083903117394</v>
      </c>
      <c r="J21" s="301">
        <f t="shared" si="2"/>
        <v>2.579930467029783</v>
      </c>
      <c r="K21" s="301">
        <v>66.43</v>
      </c>
      <c r="L21" s="264">
        <v>44.29</v>
      </c>
      <c r="M21" s="301">
        <f t="shared" si="3"/>
        <v>110.72</v>
      </c>
      <c r="N21" s="501">
        <v>66.06</v>
      </c>
      <c r="O21" s="502">
        <v>44.04</v>
      </c>
      <c r="P21" s="501">
        <f t="shared" si="4"/>
        <v>110.1</v>
      </c>
      <c r="Q21" s="301">
        <f t="shared" si="5"/>
        <v>1.9180220767180458</v>
      </c>
      <c r="R21" s="301">
        <f t="shared" si="6"/>
        <v>1.2819083903117416</v>
      </c>
      <c r="S21" s="301">
        <f t="shared" si="7"/>
        <v>3.1999304670297875</v>
      </c>
      <c r="T21" s="301" t="s">
        <v>659</v>
      </c>
      <c r="U21" s="302">
        <f t="shared" si="8"/>
        <v>1101</v>
      </c>
      <c r="V21" s="302">
        <f t="shared" si="9"/>
        <v>1101</v>
      </c>
      <c r="X21" s="347"/>
      <c r="Y21" s="347"/>
    </row>
    <row r="22" spans="1:25" ht="12.75">
      <c r="A22" s="201">
        <f t="shared" si="10"/>
        <v>9</v>
      </c>
      <c r="B22" s="201" t="s">
        <v>604</v>
      </c>
      <c r="C22" s="302">
        <v>578</v>
      </c>
      <c r="D22" s="304">
        <f t="shared" si="0"/>
        <v>578</v>
      </c>
      <c r="E22" s="301">
        <v>34.68</v>
      </c>
      <c r="F22" s="264">
        <v>23.120000000000005</v>
      </c>
      <c r="G22" s="301">
        <f t="shared" si="1"/>
        <v>57.800000000000004</v>
      </c>
      <c r="H22" s="301">
        <v>0.812676439911925</v>
      </c>
      <c r="I22" s="264">
        <v>0.5417284737513037</v>
      </c>
      <c r="J22" s="301">
        <f t="shared" si="2"/>
        <v>1.3544049136632288</v>
      </c>
      <c r="K22" s="301">
        <v>34.87</v>
      </c>
      <c r="L22" s="264">
        <v>23.25</v>
      </c>
      <c r="M22" s="301">
        <f t="shared" si="3"/>
        <v>58.12</v>
      </c>
      <c r="N22" s="501">
        <v>34.68</v>
      </c>
      <c r="O22" s="502">
        <v>23.12</v>
      </c>
      <c r="P22" s="501">
        <f t="shared" si="4"/>
        <v>57.8</v>
      </c>
      <c r="Q22" s="301">
        <f t="shared" si="5"/>
        <v>1.002676439911923</v>
      </c>
      <c r="R22" s="301">
        <f t="shared" si="6"/>
        <v>0.6717284737513012</v>
      </c>
      <c r="S22" s="301">
        <f t="shared" si="7"/>
        <v>1.6744049136632313</v>
      </c>
      <c r="T22" s="301" t="s">
        <v>659</v>
      </c>
      <c r="U22" s="302">
        <f t="shared" si="8"/>
        <v>578</v>
      </c>
      <c r="V22" s="302">
        <f t="shared" si="9"/>
        <v>578</v>
      </c>
      <c r="X22" s="347"/>
      <c r="Y22" s="347"/>
    </row>
    <row r="23" spans="1:25" ht="12.75">
      <c r="A23" s="201">
        <f t="shared" si="10"/>
        <v>10</v>
      </c>
      <c r="B23" s="201" t="s">
        <v>605</v>
      </c>
      <c r="C23" s="302">
        <v>1450</v>
      </c>
      <c r="D23" s="304">
        <f t="shared" si="0"/>
        <v>1450</v>
      </c>
      <c r="E23" s="301">
        <v>87</v>
      </c>
      <c r="F23" s="264">
        <v>58</v>
      </c>
      <c r="G23" s="301">
        <f t="shared" si="1"/>
        <v>145</v>
      </c>
      <c r="H23" s="301">
        <v>2.038721172789431</v>
      </c>
      <c r="I23" s="264">
        <v>1.3590074168501565</v>
      </c>
      <c r="J23" s="301">
        <f t="shared" si="2"/>
        <v>3.3977285896395877</v>
      </c>
      <c r="K23" s="301">
        <v>87.49</v>
      </c>
      <c r="L23" s="264">
        <v>58.32</v>
      </c>
      <c r="M23" s="301">
        <f t="shared" si="3"/>
        <v>145.81</v>
      </c>
      <c r="N23" s="501">
        <v>87</v>
      </c>
      <c r="O23" s="502">
        <v>58</v>
      </c>
      <c r="P23" s="501">
        <f t="shared" si="4"/>
        <v>145</v>
      </c>
      <c r="Q23" s="301">
        <f t="shared" si="5"/>
        <v>2.5287211727894316</v>
      </c>
      <c r="R23" s="301">
        <f t="shared" si="6"/>
        <v>1.6790074168501548</v>
      </c>
      <c r="S23" s="301">
        <f t="shared" si="7"/>
        <v>4.207728589639601</v>
      </c>
      <c r="T23" s="301" t="s">
        <v>659</v>
      </c>
      <c r="U23" s="302">
        <f t="shared" si="8"/>
        <v>1450</v>
      </c>
      <c r="V23" s="302">
        <f t="shared" si="9"/>
        <v>1450</v>
      </c>
      <c r="X23" s="347"/>
      <c r="Y23" s="347"/>
    </row>
    <row r="24" spans="1:25" ht="12.75">
      <c r="A24" s="201">
        <f t="shared" si="10"/>
        <v>11</v>
      </c>
      <c r="B24" s="201" t="s">
        <v>635</v>
      </c>
      <c r="C24" s="302">
        <v>1151</v>
      </c>
      <c r="D24" s="304">
        <f t="shared" si="0"/>
        <v>1151</v>
      </c>
      <c r="E24" s="301">
        <v>69.05999999999999</v>
      </c>
      <c r="F24" s="264">
        <v>46.04</v>
      </c>
      <c r="G24" s="301">
        <f t="shared" si="1"/>
        <v>115.1</v>
      </c>
      <c r="H24" s="301">
        <v>1.618322806814231</v>
      </c>
      <c r="I24" s="264">
        <v>1.0787707150307104</v>
      </c>
      <c r="J24" s="301">
        <f t="shared" si="2"/>
        <v>2.697093521844941</v>
      </c>
      <c r="K24" s="301">
        <v>69.45</v>
      </c>
      <c r="L24" s="264">
        <v>46.3</v>
      </c>
      <c r="M24" s="301">
        <f t="shared" si="3"/>
        <v>115.75</v>
      </c>
      <c r="N24" s="501">
        <v>69.06</v>
      </c>
      <c r="O24" s="502">
        <v>46.04</v>
      </c>
      <c r="P24" s="501">
        <f t="shared" si="4"/>
        <v>115.1</v>
      </c>
      <c r="Q24" s="301">
        <f t="shared" si="5"/>
        <v>2.0083228068142347</v>
      </c>
      <c r="R24" s="301">
        <f t="shared" si="6"/>
        <v>1.338770715030705</v>
      </c>
      <c r="S24" s="301">
        <f t="shared" si="7"/>
        <v>3.347093521844954</v>
      </c>
      <c r="T24" s="301" t="s">
        <v>659</v>
      </c>
      <c r="U24" s="302">
        <f t="shared" si="8"/>
        <v>1151</v>
      </c>
      <c r="V24" s="302">
        <f t="shared" si="9"/>
        <v>1151</v>
      </c>
      <c r="X24" s="347"/>
      <c r="Y24" s="347"/>
    </row>
    <row r="25" spans="1:25" ht="12.75">
      <c r="A25" s="201">
        <f t="shared" si="10"/>
        <v>12</v>
      </c>
      <c r="B25" s="201" t="s">
        <v>606</v>
      </c>
      <c r="C25" s="302">
        <v>1143</v>
      </c>
      <c r="D25" s="304">
        <f t="shared" si="0"/>
        <v>1143</v>
      </c>
      <c r="E25" s="301">
        <v>68.57999999999998</v>
      </c>
      <c r="F25" s="264">
        <v>45.72</v>
      </c>
      <c r="G25" s="301">
        <f t="shared" si="1"/>
        <v>114.29999999999998</v>
      </c>
      <c r="H25" s="301">
        <v>1.607074689998841</v>
      </c>
      <c r="I25" s="264">
        <v>1.0712727430756752</v>
      </c>
      <c r="J25" s="301">
        <f t="shared" si="2"/>
        <v>2.6783474330745163</v>
      </c>
      <c r="K25" s="301">
        <v>68.96</v>
      </c>
      <c r="L25" s="264">
        <v>45.97</v>
      </c>
      <c r="M25" s="301">
        <f t="shared" si="3"/>
        <v>114.92999999999999</v>
      </c>
      <c r="N25" s="501">
        <v>68.58</v>
      </c>
      <c r="O25" s="502">
        <v>45.72</v>
      </c>
      <c r="P25" s="501">
        <f t="shared" si="4"/>
        <v>114.3</v>
      </c>
      <c r="Q25" s="301">
        <f t="shared" si="5"/>
        <v>1.9870746899988347</v>
      </c>
      <c r="R25" s="301">
        <f t="shared" si="6"/>
        <v>1.3212727430756743</v>
      </c>
      <c r="S25" s="301">
        <f t="shared" si="7"/>
        <v>3.308347433074516</v>
      </c>
      <c r="T25" s="301" t="s">
        <v>659</v>
      </c>
      <c r="U25" s="302">
        <f t="shared" si="8"/>
        <v>1143</v>
      </c>
      <c r="V25" s="302">
        <f t="shared" si="9"/>
        <v>1143</v>
      </c>
      <c r="X25" s="347"/>
      <c r="Y25" s="347"/>
    </row>
    <row r="26" spans="1:25" ht="12.75">
      <c r="A26" s="201">
        <f t="shared" si="10"/>
        <v>13</v>
      </c>
      <c r="B26" s="201" t="s">
        <v>607</v>
      </c>
      <c r="C26" s="302">
        <v>2112</v>
      </c>
      <c r="D26" s="304">
        <f t="shared" si="0"/>
        <v>2112</v>
      </c>
      <c r="E26" s="301">
        <v>126.71999999999998</v>
      </c>
      <c r="F26" s="264">
        <v>84.48</v>
      </c>
      <c r="G26" s="301">
        <f t="shared" si="1"/>
        <v>211.2</v>
      </c>
      <c r="H26" s="301">
        <v>2.9695028392629506</v>
      </c>
      <c r="I26" s="264">
        <v>1.9794645961293313</v>
      </c>
      <c r="J26" s="301">
        <f t="shared" si="2"/>
        <v>4.948967435392282</v>
      </c>
      <c r="K26" s="301">
        <v>127.43</v>
      </c>
      <c r="L26" s="264">
        <v>84.95</v>
      </c>
      <c r="M26" s="301">
        <f t="shared" si="3"/>
        <v>212.38</v>
      </c>
      <c r="N26" s="501">
        <v>126.72</v>
      </c>
      <c r="O26" s="502">
        <v>84.48</v>
      </c>
      <c r="P26" s="501">
        <f t="shared" si="4"/>
        <v>211.2</v>
      </c>
      <c r="Q26" s="301">
        <f t="shared" si="5"/>
        <v>3.679502839262966</v>
      </c>
      <c r="R26" s="301">
        <f t="shared" si="6"/>
        <v>2.4494645961293315</v>
      </c>
      <c r="S26" s="301">
        <f t="shared" si="7"/>
        <v>6.128967435392298</v>
      </c>
      <c r="T26" s="301" t="s">
        <v>659</v>
      </c>
      <c r="U26" s="302">
        <f t="shared" si="8"/>
        <v>2112</v>
      </c>
      <c r="V26" s="302">
        <f t="shared" si="9"/>
        <v>2112</v>
      </c>
      <c r="X26" s="347"/>
      <c r="Y26" s="347"/>
    </row>
    <row r="27" spans="1:25" ht="12.75">
      <c r="A27" s="201">
        <f t="shared" si="10"/>
        <v>14</v>
      </c>
      <c r="B27" s="201" t="s">
        <v>636</v>
      </c>
      <c r="C27" s="302">
        <v>763</v>
      </c>
      <c r="D27" s="304">
        <f t="shared" si="0"/>
        <v>763</v>
      </c>
      <c r="E27" s="301">
        <v>45.779999999999994</v>
      </c>
      <c r="F27" s="264">
        <v>30.52</v>
      </c>
      <c r="G27" s="301">
        <f t="shared" si="1"/>
        <v>76.3</v>
      </c>
      <c r="H27" s="301">
        <v>1.0727891412678179</v>
      </c>
      <c r="I27" s="264">
        <v>0.7151190752114961</v>
      </c>
      <c r="J27" s="301">
        <f t="shared" si="2"/>
        <v>1.7879082164793139</v>
      </c>
      <c r="K27" s="301">
        <v>46.04</v>
      </c>
      <c r="L27" s="264">
        <v>30.69</v>
      </c>
      <c r="M27" s="301">
        <f t="shared" si="3"/>
        <v>76.73</v>
      </c>
      <c r="N27" s="501">
        <v>45.78</v>
      </c>
      <c r="O27" s="502">
        <v>30.52</v>
      </c>
      <c r="P27" s="501">
        <f t="shared" si="4"/>
        <v>76.3</v>
      </c>
      <c r="Q27" s="301">
        <f t="shared" si="5"/>
        <v>1.332789141267817</v>
      </c>
      <c r="R27" s="301">
        <f t="shared" si="6"/>
        <v>0.8851190752114988</v>
      </c>
      <c r="S27" s="301">
        <f t="shared" si="7"/>
        <v>2.217908216479316</v>
      </c>
      <c r="T27" s="301" t="s">
        <v>659</v>
      </c>
      <c r="U27" s="302">
        <f t="shared" si="8"/>
        <v>763</v>
      </c>
      <c r="V27" s="302">
        <f t="shared" si="9"/>
        <v>763</v>
      </c>
      <c r="X27" s="347"/>
      <c r="Y27" s="347"/>
    </row>
    <row r="28" spans="1:25" ht="12.75">
      <c r="A28" s="201">
        <f t="shared" si="10"/>
        <v>15</v>
      </c>
      <c r="B28" s="201" t="s">
        <v>608</v>
      </c>
      <c r="C28" s="302">
        <v>1562</v>
      </c>
      <c r="D28" s="304">
        <f t="shared" si="0"/>
        <v>1562</v>
      </c>
      <c r="E28" s="301">
        <v>93.71999999999998</v>
      </c>
      <c r="F28" s="264">
        <v>62.48</v>
      </c>
      <c r="G28" s="301">
        <f t="shared" si="1"/>
        <v>156.2</v>
      </c>
      <c r="H28" s="301">
        <v>2.1961948082048903</v>
      </c>
      <c r="I28" s="264">
        <v>1.4639790242206514</v>
      </c>
      <c r="J28" s="301">
        <f t="shared" si="2"/>
        <v>3.6601738324255417</v>
      </c>
      <c r="K28" s="301">
        <v>94.24</v>
      </c>
      <c r="L28" s="264">
        <v>62.83</v>
      </c>
      <c r="M28" s="301">
        <f t="shared" si="3"/>
        <v>157.07</v>
      </c>
      <c r="N28" s="501">
        <v>93.72</v>
      </c>
      <c r="O28" s="502">
        <v>62.48</v>
      </c>
      <c r="P28" s="501">
        <f t="shared" si="4"/>
        <v>156.2</v>
      </c>
      <c r="Q28" s="301">
        <f t="shared" si="5"/>
        <v>2.7161948082048895</v>
      </c>
      <c r="R28" s="301">
        <f t="shared" si="6"/>
        <v>1.8139790242206502</v>
      </c>
      <c r="S28" s="301">
        <f t="shared" si="7"/>
        <v>4.5301738324255325</v>
      </c>
      <c r="T28" s="301" t="s">
        <v>659</v>
      </c>
      <c r="U28" s="302">
        <f t="shared" si="8"/>
        <v>1562</v>
      </c>
      <c r="V28" s="302">
        <f t="shared" si="9"/>
        <v>1562</v>
      </c>
      <c r="X28" s="347"/>
      <c r="Y28" s="347"/>
    </row>
    <row r="29" spans="1:25" ht="12.75">
      <c r="A29" s="201">
        <f t="shared" si="10"/>
        <v>16</v>
      </c>
      <c r="B29" s="201" t="s">
        <v>609</v>
      </c>
      <c r="C29" s="302">
        <v>812</v>
      </c>
      <c r="D29" s="304">
        <f t="shared" si="0"/>
        <v>812</v>
      </c>
      <c r="E29" s="301">
        <v>48.72</v>
      </c>
      <c r="F29" s="264">
        <v>32.480000000000004</v>
      </c>
      <c r="G29" s="301">
        <f t="shared" si="1"/>
        <v>81.2</v>
      </c>
      <c r="H29" s="301">
        <v>1.1416838567620813</v>
      </c>
      <c r="I29" s="264">
        <v>0.7610441534360877</v>
      </c>
      <c r="J29" s="301">
        <f t="shared" si="2"/>
        <v>1.902728010198169</v>
      </c>
      <c r="K29" s="301">
        <v>48.99</v>
      </c>
      <c r="L29" s="264">
        <v>32.66</v>
      </c>
      <c r="M29" s="301">
        <f t="shared" si="3"/>
        <v>81.65</v>
      </c>
      <c r="N29" s="501">
        <v>48.72</v>
      </c>
      <c r="O29" s="502">
        <v>32.48</v>
      </c>
      <c r="P29" s="501">
        <f t="shared" si="4"/>
        <v>81.19999999999999</v>
      </c>
      <c r="Q29" s="301">
        <f t="shared" si="5"/>
        <v>1.4116838567620817</v>
      </c>
      <c r="R29" s="301">
        <f t="shared" si="6"/>
        <v>0.9410441534360885</v>
      </c>
      <c r="S29" s="301">
        <f t="shared" si="7"/>
        <v>2.3527280101981916</v>
      </c>
      <c r="T29" s="301" t="s">
        <v>659</v>
      </c>
      <c r="U29" s="302">
        <f t="shared" si="8"/>
        <v>812</v>
      </c>
      <c r="V29" s="302">
        <f t="shared" si="9"/>
        <v>812</v>
      </c>
      <c r="X29" s="347"/>
      <c r="Y29" s="347"/>
    </row>
    <row r="30" spans="1:25" ht="12.75">
      <c r="A30" s="201">
        <f t="shared" si="10"/>
        <v>17</v>
      </c>
      <c r="B30" s="201" t="s">
        <v>610</v>
      </c>
      <c r="C30" s="302">
        <v>1120</v>
      </c>
      <c r="D30" s="304">
        <f t="shared" si="0"/>
        <v>1120</v>
      </c>
      <c r="E30" s="301">
        <v>67.19999999999999</v>
      </c>
      <c r="F30" s="264">
        <v>44.8</v>
      </c>
      <c r="G30" s="301">
        <f t="shared" si="1"/>
        <v>111.99999999999999</v>
      </c>
      <c r="H30" s="301">
        <v>1.574736354154595</v>
      </c>
      <c r="I30" s="264">
        <v>1.0497160737049485</v>
      </c>
      <c r="J30" s="301">
        <f t="shared" si="2"/>
        <v>2.624452427859543</v>
      </c>
      <c r="K30" s="301">
        <v>67.57</v>
      </c>
      <c r="L30" s="264">
        <v>45.05</v>
      </c>
      <c r="M30" s="301">
        <f t="shared" si="3"/>
        <v>112.61999999999999</v>
      </c>
      <c r="N30" s="501">
        <v>67.2</v>
      </c>
      <c r="O30" s="502">
        <v>44.8</v>
      </c>
      <c r="P30" s="501">
        <f t="shared" si="4"/>
        <v>112</v>
      </c>
      <c r="Q30" s="301">
        <f t="shared" si="5"/>
        <v>1.9447363541545855</v>
      </c>
      <c r="R30" s="301">
        <f t="shared" si="6"/>
        <v>1.2997160737049498</v>
      </c>
      <c r="S30" s="301">
        <f t="shared" si="7"/>
        <v>3.244452427859528</v>
      </c>
      <c r="T30" s="301" t="s">
        <v>659</v>
      </c>
      <c r="U30" s="302">
        <f t="shared" si="8"/>
        <v>1120</v>
      </c>
      <c r="V30" s="302">
        <f t="shared" si="9"/>
        <v>1120</v>
      </c>
      <c r="X30" s="347"/>
      <c r="Y30" s="347"/>
    </row>
    <row r="31" spans="1:25" ht="12.75">
      <c r="A31" s="201">
        <f t="shared" si="10"/>
        <v>18</v>
      </c>
      <c r="B31" s="201" t="s">
        <v>611</v>
      </c>
      <c r="C31" s="302">
        <v>2205</v>
      </c>
      <c r="D31" s="304">
        <f t="shared" si="0"/>
        <v>2205</v>
      </c>
      <c r="E31" s="301">
        <v>132.29999999999998</v>
      </c>
      <c r="F31" s="264">
        <v>88.2</v>
      </c>
      <c r="G31" s="301">
        <f t="shared" si="1"/>
        <v>220.5</v>
      </c>
      <c r="H31" s="301">
        <v>3.100262197241859</v>
      </c>
      <c r="I31" s="264">
        <v>2.066628520106617</v>
      </c>
      <c r="J31" s="301">
        <f t="shared" si="2"/>
        <v>5.166890717348476</v>
      </c>
      <c r="K31" s="301">
        <v>133.04</v>
      </c>
      <c r="L31" s="264">
        <v>88.69</v>
      </c>
      <c r="M31" s="301">
        <f t="shared" si="3"/>
        <v>221.73</v>
      </c>
      <c r="N31" s="501">
        <v>132.3</v>
      </c>
      <c r="O31" s="502">
        <v>88.2</v>
      </c>
      <c r="P31" s="501">
        <f t="shared" si="4"/>
        <v>220.5</v>
      </c>
      <c r="Q31" s="301">
        <f t="shared" si="5"/>
        <v>3.8402621972418274</v>
      </c>
      <c r="R31" s="301">
        <f t="shared" si="6"/>
        <v>2.5566285201066137</v>
      </c>
      <c r="S31" s="301">
        <f t="shared" si="7"/>
        <v>6.3968907173484695</v>
      </c>
      <c r="T31" s="301" t="s">
        <v>659</v>
      </c>
      <c r="U31" s="302">
        <f t="shared" si="8"/>
        <v>2205</v>
      </c>
      <c r="V31" s="302">
        <f t="shared" si="9"/>
        <v>2205</v>
      </c>
      <c r="X31" s="347"/>
      <c r="Y31" s="347"/>
    </row>
    <row r="32" spans="1:25" ht="12.75">
      <c r="A32" s="201">
        <f t="shared" si="10"/>
        <v>19</v>
      </c>
      <c r="B32" s="201" t="s">
        <v>637</v>
      </c>
      <c r="C32" s="302">
        <v>868</v>
      </c>
      <c r="D32" s="304">
        <f t="shared" si="0"/>
        <v>868</v>
      </c>
      <c r="E32" s="301">
        <v>52.080000000000005</v>
      </c>
      <c r="F32" s="264">
        <v>34.720000000000006</v>
      </c>
      <c r="G32" s="301">
        <f t="shared" si="1"/>
        <v>86.80000000000001</v>
      </c>
      <c r="H32" s="301">
        <v>1.2204206744698112</v>
      </c>
      <c r="I32" s="264">
        <v>0.8135299571213351</v>
      </c>
      <c r="J32" s="301">
        <f t="shared" si="2"/>
        <v>2.0339506315911464</v>
      </c>
      <c r="K32" s="301">
        <v>52.37</v>
      </c>
      <c r="L32" s="264">
        <v>34.91</v>
      </c>
      <c r="M32" s="301">
        <f t="shared" si="3"/>
        <v>87.28</v>
      </c>
      <c r="N32" s="501">
        <v>52.08</v>
      </c>
      <c r="O32" s="502">
        <v>34.72</v>
      </c>
      <c r="P32" s="501">
        <f t="shared" si="4"/>
        <v>86.8</v>
      </c>
      <c r="Q32" s="301">
        <f t="shared" si="5"/>
        <v>1.5104206744698132</v>
      </c>
      <c r="R32" s="301">
        <f t="shared" si="6"/>
        <v>1.00352995712133</v>
      </c>
      <c r="S32" s="301">
        <f t="shared" si="7"/>
        <v>2.5139506315911575</v>
      </c>
      <c r="T32" s="301" t="s">
        <v>659</v>
      </c>
      <c r="U32" s="302">
        <f t="shared" si="8"/>
        <v>868</v>
      </c>
      <c r="V32" s="302">
        <f t="shared" si="9"/>
        <v>868</v>
      </c>
      <c r="X32" s="347"/>
      <c r="Y32" s="347"/>
    </row>
    <row r="33" spans="1:25" ht="12.75">
      <c r="A33" s="201">
        <f t="shared" si="10"/>
        <v>20</v>
      </c>
      <c r="B33" s="201" t="s">
        <v>612</v>
      </c>
      <c r="C33" s="302">
        <v>1256</v>
      </c>
      <c r="D33" s="304">
        <f t="shared" si="0"/>
        <v>1256</v>
      </c>
      <c r="E33" s="301">
        <v>75.36</v>
      </c>
      <c r="F33" s="264">
        <v>50.24</v>
      </c>
      <c r="G33" s="301">
        <f t="shared" si="1"/>
        <v>125.6</v>
      </c>
      <c r="H33" s="301">
        <v>1.7659543400162243</v>
      </c>
      <c r="I33" s="264">
        <v>1.1771815969405492</v>
      </c>
      <c r="J33" s="301">
        <f t="shared" si="2"/>
        <v>2.9431359369567733</v>
      </c>
      <c r="K33" s="301">
        <v>75.78</v>
      </c>
      <c r="L33" s="264">
        <v>50.52</v>
      </c>
      <c r="M33" s="301">
        <f t="shared" si="3"/>
        <v>126.30000000000001</v>
      </c>
      <c r="N33" s="501">
        <v>75.36</v>
      </c>
      <c r="O33" s="502">
        <v>50.24</v>
      </c>
      <c r="P33" s="501">
        <f t="shared" si="4"/>
        <v>125.6</v>
      </c>
      <c r="Q33" s="301">
        <f t="shared" si="5"/>
        <v>2.185954340016224</v>
      </c>
      <c r="R33" s="301">
        <f t="shared" si="6"/>
        <v>1.4571815969405506</v>
      </c>
      <c r="S33" s="301">
        <f t="shared" si="7"/>
        <v>3.6431359369567815</v>
      </c>
      <c r="T33" s="301" t="s">
        <v>659</v>
      </c>
      <c r="U33" s="302">
        <f t="shared" si="8"/>
        <v>1256</v>
      </c>
      <c r="V33" s="302">
        <f t="shared" si="9"/>
        <v>1256</v>
      </c>
      <c r="X33" s="347"/>
      <c r="Y33" s="347"/>
    </row>
    <row r="34" spans="1:25" ht="12.75">
      <c r="A34" s="201">
        <f t="shared" si="10"/>
        <v>21</v>
      </c>
      <c r="B34" s="201" t="s">
        <v>613</v>
      </c>
      <c r="C34" s="302">
        <v>573</v>
      </c>
      <c r="D34" s="304">
        <f t="shared" si="0"/>
        <v>573</v>
      </c>
      <c r="E34" s="301">
        <v>34.379999999999995</v>
      </c>
      <c r="F34" s="264">
        <v>22.92</v>
      </c>
      <c r="G34" s="301">
        <f t="shared" si="1"/>
        <v>57.3</v>
      </c>
      <c r="H34" s="301">
        <v>0.8056463669023063</v>
      </c>
      <c r="I34" s="264">
        <v>0.5370422412794066</v>
      </c>
      <c r="J34" s="301">
        <f t="shared" si="2"/>
        <v>1.3426886081817129</v>
      </c>
      <c r="K34" s="301">
        <v>34.57</v>
      </c>
      <c r="L34" s="264">
        <v>23.05</v>
      </c>
      <c r="M34" s="301">
        <f t="shared" si="3"/>
        <v>57.620000000000005</v>
      </c>
      <c r="N34" s="501">
        <v>34.38</v>
      </c>
      <c r="O34" s="502">
        <v>22.92</v>
      </c>
      <c r="P34" s="501">
        <f t="shared" si="4"/>
        <v>57.300000000000004</v>
      </c>
      <c r="Q34" s="301">
        <f t="shared" si="5"/>
        <v>0.9956463669023066</v>
      </c>
      <c r="R34" s="301">
        <f t="shared" si="6"/>
        <v>0.6670422412794039</v>
      </c>
      <c r="S34" s="301">
        <f t="shared" si="7"/>
        <v>1.6626886081817105</v>
      </c>
      <c r="T34" s="301" t="s">
        <v>659</v>
      </c>
      <c r="U34" s="302">
        <f t="shared" si="8"/>
        <v>573</v>
      </c>
      <c r="V34" s="302">
        <f t="shared" si="9"/>
        <v>573</v>
      </c>
      <c r="X34" s="347"/>
      <c r="Y34" s="347"/>
    </row>
    <row r="35" spans="1:25" ht="12.75">
      <c r="A35" s="201">
        <f t="shared" si="10"/>
        <v>22</v>
      </c>
      <c r="B35" s="201" t="s">
        <v>614</v>
      </c>
      <c r="C35" s="302">
        <v>438</v>
      </c>
      <c r="D35" s="304">
        <f t="shared" si="0"/>
        <v>438</v>
      </c>
      <c r="E35" s="301">
        <v>26.28</v>
      </c>
      <c r="F35" s="264">
        <v>17.520000000000003</v>
      </c>
      <c r="G35" s="301">
        <f t="shared" si="1"/>
        <v>43.800000000000004</v>
      </c>
      <c r="H35" s="301">
        <v>0.6158343956426006</v>
      </c>
      <c r="I35" s="264">
        <v>0.4105139645381852</v>
      </c>
      <c r="J35" s="301">
        <f t="shared" si="2"/>
        <v>1.0263483601807857</v>
      </c>
      <c r="K35" s="301">
        <v>26.43</v>
      </c>
      <c r="L35" s="264">
        <v>17.62</v>
      </c>
      <c r="M35" s="301">
        <f t="shared" si="3"/>
        <v>44.05</v>
      </c>
      <c r="N35" s="501">
        <v>26.28</v>
      </c>
      <c r="O35" s="502">
        <v>17.52</v>
      </c>
      <c r="P35" s="501">
        <f t="shared" si="4"/>
        <v>43.8</v>
      </c>
      <c r="Q35" s="301">
        <f t="shared" si="5"/>
        <v>0.7658343956425995</v>
      </c>
      <c r="R35" s="301">
        <f t="shared" si="6"/>
        <v>0.5105139645381875</v>
      </c>
      <c r="S35" s="301">
        <f t="shared" si="7"/>
        <v>1.2763483601807835</v>
      </c>
      <c r="T35" s="301" t="s">
        <v>659</v>
      </c>
      <c r="U35" s="302">
        <f t="shared" si="8"/>
        <v>438</v>
      </c>
      <c r="V35" s="302">
        <f t="shared" si="9"/>
        <v>438</v>
      </c>
      <c r="X35" s="347"/>
      <c r="Y35" s="347"/>
    </row>
    <row r="36" spans="1:25" ht="12.75">
      <c r="A36" s="201">
        <f t="shared" si="10"/>
        <v>23</v>
      </c>
      <c r="B36" s="201" t="s">
        <v>615</v>
      </c>
      <c r="C36" s="302">
        <v>1885</v>
      </c>
      <c r="D36" s="304">
        <f t="shared" si="0"/>
        <v>1885</v>
      </c>
      <c r="E36" s="301">
        <v>113.1</v>
      </c>
      <c r="F36" s="264">
        <v>75.4</v>
      </c>
      <c r="G36" s="301">
        <f t="shared" si="1"/>
        <v>188.5</v>
      </c>
      <c r="H36" s="301">
        <v>2.65033752462626</v>
      </c>
      <c r="I36" s="264">
        <v>1.7667096419052033</v>
      </c>
      <c r="J36" s="301">
        <f t="shared" si="2"/>
        <v>4.4170471665314635</v>
      </c>
      <c r="K36" s="301">
        <v>113.73</v>
      </c>
      <c r="L36" s="264">
        <v>75.82</v>
      </c>
      <c r="M36" s="301">
        <f t="shared" si="3"/>
        <v>189.55</v>
      </c>
      <c r="N36" s="501">
        <v>113.1</v>
      </c>
      <c r="O36" s="502">
        <v>75.4</v>
      </c>
      <c r="P36" s="501">
        <f t="shared" si="4"/>
        <v>188.5</v>
      </c>
      <c r="Q36" s="301">
        <f t="shared" si="5"/>
        <v>3.280337524626276</v>
      </c>
      <c r="R36" s="301">
        <f t="shared" si="6"/>
        <v>2.186709641905196</v>
      </c>
      <c r="S36" s="301">
        <f t="shared" si="7"/>
        <v>5.467047166531472</v>
      </c>
      <c r="T36" s="301" t="s">
        <v>659</v>
      </c>
      <c r="U36" s="302">
        <f t="shared" si="8"/>
        <v>1885</v>
      </c>
      <c r="V36" s="302">
        <f t="shared" si="9"/>
        <v>1885</v>
      </c>
      <c r="X36" s="347"/>
      <c r="Y36" s="347"/>
    </row>
    <row r="37" spans="1:25" ht="12.75">
      <c r="A37" s="201">
        <f t="shared" si="10"/>
        <v>24</v>
      </c>
      <c r="B37" s="201" t="s">
        <v>616</v>
      </c>
      <c r="C37" s="302">
        <v>1834</v>
      </c>
      <c r="D37" s="304">
        <f t="shared" si="0"/>
        <v>1834</v>
      </c>
      <c r="E37" s="301">
        <v>110.04</v>
      </c>
      <c r="F37" s="264">
        <v>73.36</v>
      </c>
      <c r="G37" s="301">
        <f t="shared" si="1"/>
        <v>183.4</v>
      </c>
      <c r="H37" s="301">
        <v>2.5786307799281496</v>
      </c>
      <c r="I37" s="264">
        <v>1.7189100706918532</v>
      </c>
      <c r="J37" s="301">
        <f t="shared" si="2"/>
        <v>4.297540850620003</v>
      </c>
      <c r="K37" s="301">
        <v>110.65</v>
      </c>
      <c r="L37" s="264">
        <v>73.77</v>
      </c>
      <c r="M37" s="301">
        <f t="shared" si="3"/>
        <v>184.42000000000002</v>
      </c>
      <c r="N37" s="501">
        <v>110.04</v>
      </c>
      <c r="O37" s="502">
        <v>73.36</v>
      </c>
      <c r="P37" s="501">
        <f t="shared" si="4"/>
        <v>183.4</v>
      </c>
      <c r="Q37" s="301">
        <f t="shared" si="5"/>
        <v>3.188630779928147</v>
      </c>
      <c r="R37" s="301">
        <f t="shared" si="6"/>
        <v>2.1289100706918447</v>
      </c>
      <c r="S37" s="301">
        <f t="shared" si="7"/>
        <v>5.31754085062002</v>
      </c>
      <c r="T37" s="301" t="s">
        <v>659</v>
      </c>
      <c r="U37" s="302">
        <f t="shared" si="8"/>
        <v>1834</v>
      </c>
      <c r="V37" s="302">
        <f t="shared" si="9"/>
        <v>1834</v>
      </c>
      <c r="X37" s="347"/>
      <c r="Y37" s="347"/>
    </row>
    <row r="38" spans="1:25" ht="12.75">
      <c r="A38" s="201">
        <f t="shared" si="10"/>
        <v>25</v>
      </c>
      <c r="B38" s="201" t="s">
        <v>617</v>
      </c>
      <c r="C38" s="302">
        <v>1232</v>
      </c>
      <c r="D38" s="304">
        <f t="shared" si="0"/>
        <v>1232</v>
      </c>
      <c r="E38" s="301">
        <v>73.92</v>
      </c>
      <c r="F38" s="264">
        <v>49.28000000000001</v>
      </c>
      <c r="G38" s="301">
        <f t="shared" si="1"/>
        <v>123.20000000000002</v>
      </c>
      <c r="H38" s="301">
        <v>1.7322099895700545</v>
      </c>
      <c r="I38" s="264">
        <v>1.1546876810754434</v>
      </c>
      <c r="J38" s="301">
        <f t="shared" si="2"/>
        <v>2.8868976706454976</v>
      </c>
      <c r="K38" s="301">
        <v>74.33</v>
      </c>
      <c r="L38" s="264">
        <v>49.55</v>
      </c>
      <c r="M38" s="301">
        <f t="shared" si="3"/>
        <v>123.88</v>
      </c>
      <c r="N38" s="501">
        <v>73.92</v>
      </c>
      <c r="O38" s="502">
        <v>49.28</v>
      </c>
      <c r="P38" s="501">
        <f t="shared" si="4"/>
        <v>123.2</v>
      </c>
      <c r="Q38" s="301">
        <f t="shared" si="5"/>
        <v>2.1422099895700484</v>
      </c>
      <c r="R38" s="301">
        <f t="shared" si="6"/>
        <v>1.42468768107544</v>
      </c>
      <c r="S38" s="301">
        <f t="shared" si="7"/>
        <v>3.5668976706454885</v>
      </c>
      <c r="T38" s="301" t="s">
        <v>659</v>
      </c>
      <c r="U38" s="302">
        <f t="shared" si="8"/>
        <v>1232</v>
      </c>
      <c r="V38" s="302">
        <f t="shared" si="9"/>
        <v>1232</v>
      </c>
      <c r="X38" s="347"/>
      <c r="Y38" s="347"/>
    </row>
    <row r="39" spans="1:25" ht="12.75">
      <c r="A39" s="201">
        <f t="shared" si="10"/>
        <v>26</v>
      </c>
      <c r="B39" s="201" t="s">
        <v>618</v>
      </c>
      <c r="C39" s="302">
        <v>1430</v>
      </c>
      <c r="D39" s="304">
        <f t="shared" si="0"/>
        <v>1430</v>
      </c>
      <c r="E39" s="301">
        <v>85.79999999999998</v>
      </c>
      <c r="F39" s="264">
        <v>57.19999999999999</v>
      </c>
      <c r="G39" s="301">
        <f t="shared" si="1"/>
        <v>142.99999999999997</v>
      </c>
      <c r="H39" s="301">
        <v>2.0106008807509563</v>
      </c>
      <c r="I39" s="264">
        <v>1.3402624869625681</v>
      </c>
      <c r="J39" s="301">
        <f t="shared" si="2"/>
        <v>3.3508633677135244</v>
      </c>
      <c r="K39" s="301">
        <v>86.28</v>
      </c>
      <c r="L39" s="264">
        <v>57.52</v>
      </c>
      <c r="M39" s="301">
        <f t="shared" si="3"/>
        <v>143.8</v>
      </c>
      <c r="N39" s="501">
        <v>85.8</v>
      </c>
      <c r="O39" s="502">
        <v>57.2</v>
      </c>
      <c r="P39" s="501">
        <f t="shared" si="4"/>
        <v>143</v>
      </c>
      <c r="Q39" s="301">
        <f t="shared" si="5"/>
        <v>2.4906008807509608</v>
      </c>
      <c r="R39" s="301">
        <f t="shared" si="6"/>
        <v>1.6602624869625657</v>
      </c>
      <c r="S39" s="301">
        <f t="shared" si="7"/>
        <v>4.1508633677135265</v>
      </c>
      <c r="T39" s="301" t="s">
        <v>659</v>
      </c>
      <c r="U39" s="302">
        <f t="shared" si="8"/>
        <v>1430</v>
      </c>
      <c r="V39" s="302">
        <f t="shared" si="9"/>
        <v>1430</v>
      </c>
      <c r="X39" s="347"/>
      <c r="Y39" s="347"/>
    </row>
    <row r="40" spans="1:25" ht="12.75">
      <c r="A40" s="201">
        <f t="shared" si="10"/>
        <v>27</v>
      </c>
      <c r="B40" s="201" t="s">
        <v>619</v>
      </c>
      <c r="C40" s="302">
        <v>1170</v>
      </c>
      <c r="D40" s="304">
        <f t="shared" si="0"/>
        <v>1170</v>
      </c>
      <c r="E40" s="301">
        <v>70.19999999999999</v>
      </c>
      <c r="F40" s="264">
        <v>46.8</v>
      </c>
      <c r="G40" s="301">
        <f t="shared" si="1"/>
        <v>116.99999999999999</v>
      </c>
      <c r="H40" s="301">
        <v>1.6450370842507822</v>
      </c>
      <c r="I40" s="264">
        <v>1.0965783984239192</v>
      </c>
      <c r="J40" s="301">
        <f t="shared" si="2"/>
        <v>2.7416154826747015</v>
      </c>
      <c r="K40" s="301">
        <v>70.59</v>
      </c>
      <c r="L40" s="264">
        <v>47.06</v>
      </c>
      <c r="M40" s="301">
        <f t="shared" si="3"/>
        <v>117.65</v>
      </c>
      <c r="N40" s="501">
        <v>70.2</v>
      </c>
      <c r="O40" s="502">
        <v>46.8</v>
      </c>
      <c r="P40" s="501">
        <f t="shared" si="4"/>
        <v>117</v>
      </c>
      <c r="Q40" s="301">
        <f t="shared" si="5"/>
        <v>2.0350370842507886</v>
      </c>
      <c r="R40" s="301">
        <f t="shared" si="6"/>
        <v>1.3565783984239275</v>
      </c>
      <c r="S40" s="301">
        <f t="shared" si="7"/>
        <v>3.391615482674709</v>
      </c>
      <c r="T40" s="301" t="s">
        <v>659</v>
      </c>
      <c r="U40" s="302">
        <f t="shared" si="8"/>
        <v>1170</v>
      </c>
      <c r="V40" s="302">
        <f t="shared" si="9"/>
        <v>1170</v>
      </c>
      <c r="X40" s="347"/>
      <c r="Y40" s="347"/>
    </row>
    <row r="41" spans="1:25" ht="12.75">
      <c r="A41" s="201">
        <f t="shared" si="10"/>
        <v>28</v>
      </c>
      <c r="B41" s="143" t="s">
        <v>620</v>
      </c>
      <c r="C41" s="302">
        <v>697</v>
      </c>
      <c r="D41" s="304">
        <f t="shared" si="0"/>
        <v>697</v>
      </c>
      <c r="E41" s="301">
        <v>41.82000000000001</v>
      </c>
      <c r="F41" s="264">
        <v>27.88000000000001</v>
      </c>
      <c r="G41" s="301">
        <f t="shared" si="1"/>
        <v>69.70000000000002</v>
      </c>
      <c r="H41" s="301">
        <v>0.9799921775408508</v>
      </c>
      <c r="I41" s="264">
        <v>0.6532608065824546</v>
      </c>
      <c r="J41" s="301">
        <f t="shared" si="2"/>
        <v>1.6332529841233052</v>
      </c>
      <c r="K41" s="301">
        <v>42.05</v>
      </c>
      <c r="L41" s="264">
        <v>28.04</v>
      </c>
      <c r="M41" s="301">
        <f t="shared" si="3"/>
        <v>70.09</v>
      </c>
      <c r="N41" s="501">
        <v>41.82</v>
      </c>
      <c r="O41" s="502">
        <v>27.88</v>
      </c>
      <c r="P41" s="501">
        <f t="shared" si="4"/>
        <v>69.7</v>
      </c>
      <c r="Q41" s="301">
        <f t="shared" si="5"/>
        <v>1.2099921775408475</v>
      </c>
      <c r="R41" s="301">
        <f t="shared" si="6"/>
        <v>0.8132608065824556</v>
      </c>
      <c r="S41" s="301">
        <f t="shared" si="7"/>
        <v>2.023252984123303</v>
      </c>
      <c r="T41" s="301" t="s">
        <v>659</v>
      </c>
      <c r="U41" s="302">
        <f t="shared" si="8"/>
        <v>697</v>
      </c>
      <c r="V41" s="302">
        <f t="shared" si="9"/>
        <v>697</v>
      </c>
      <c r="X41" s="347"/>
      <c r="Y41" s="347"/>
    </row>
    <row r="42" spans="1:25" ht="12.75">
      <c r="A42" s="201">
        <f t="shared" si="10"/>
        <v>29</v>
      </c>
      <c r="B42" s="143" t="s">
        <v>621</v>
      </c>
      <c r="C42" s="302">
        <v>754</v>
      </c>
      <c r="D42" s="304">
        <f t="shared" si="0"/>
        <v>754</v>
      </c>
      <c r="E42" s="301">
        <v>45.24</v>
      </c>
      <c r="F42" s="264">
        <v>30.160000000000004</v>
      </c>
      <c r="G42" s="301">
        <f t="shared" si="1"/>
        <v>75.4</v>
      </c>
      <c r="H42" s="301">
        <v>1.0601350098505042</v>
      </c>
      <c r="I42" s="264">
        <v>0.7066838567620813</v>
      </c>
      <c r="J42" s="301">
        <f t="shared" si="2"/>
        <v>1.7668188666125855</v>
      </c>
      <c r="K42" s="301">
        <v>45.49</v>
      </c>
      <c r="L42" s="264">
        <v>30.33</v>
      </c>
      <c r="M42" s="301">
        <f t="shared" si="3"/>
        <v>75.82</v>
      </c>
      <c r="N42" s="501">
        <v>45.24</v>
      </c>
      <c r="O42" s="502">
        <v>30.16</v>
      </c>
      <c r="P42" s="501">
        <f t="shared" si="4"/>
        <v>75.4</v>
      </c>
      <c r="Q42" s="301">
        <f t="shared" si="5"/>
        <v>1.3101350098505051</v>
      </c>
      <c r="R42" s="301">
        <f t="shared" si="6"/>
        <v>0.876683856762078</v>
      </c>
      <c r="S42" s="301">
        <f t="shared" si="7"/>
        <v>2.186818866612569</v>
      </c>
      <c r="T42" s="301" t="s">
        <v>659</v>
      </c>
      <c r="U42" s="302">
        <f t="shared" si="8"/>
        <v>754</v>
      </c>
      <c r="V42" s="302">
        <f t="shared" si="9"/>
        <v>754</v>
      </c>
      <c r="X42" s="347"/>
      <c r="Y42" s="347"/>
    </row>
    <row r="43" spans="1:25" ht="12.75">
      <c r="A43" s="201">
        <f t="shared" si="10"/>
        <v>30</v>
      </c>
      <c r="B43" s="143" t="s">
        <v>622</v>
      </c>
      <c r="C43" s="302">
        <v>564</v>
      </c>
      <c r="D43" s="304">
        <f t="shared" si="0"/>
        <v>564</v>
      </c>
      <c r="E43" s="301">
        <v>33.839999999999996</v>
      </c>
      <c r="F43" s="264">
        <v>22.560000000000002</v>
      </c>
      <c r="G43" s="301">
        <f t="shared" si="1"/>
        <v>56.4</v>
      </c>
      <c r="H43" s="301">
        <v>0.7929922354849925</v>
      </c>
      <c r="I43" s="264">
        <v>0.528607022829992</v>
      </c>
      <c r="J43" s="301">
        <f t="shared" si="2"/>
        <v>1.3215992583149845</v>
      </c>
      <c r="K43" s="301">
        <v>34.03</v>
      </c>
      <c r="L43" s="264">
        <v>22.69</v>
      </c>
      <c r="M43" s="301">
        <f t="shared" si="3"/>
        <v>56.72</v>
      </c>
      <c r="N43" s="501">
        <v>33.84</v>
      </c>
      <c r="O43" s="502">
        <v>22.56</v>
      </c>
      <c r="P43" s="501">
        <f t="shared" si="4"/>
        <v>56.400000000000006</v>
      </c>
      <c r="Q43" s="301">
        <f t="shared" si="5"/>
        <v>0.9829922354849927</v>
      </c>
      <c r="R43" s="301">
        <f t="shared" si="6"/>
        <v>0.6586070228299938</v>
      </c>
      <c r="S43" s="301">
        <f t="shared" si="7"/>
        <v>1.6415992583149759</v>
      </c>
      <c r="T43" s="301" t="s">
        <v>659</v>
      </c>
      <c r="U43" s="302">
        <f t="shared" si="8"/>
        <v>564</v>
      </c>
      <c r="V43" s="302">
        <f t="shared" si="9"/>
        <v>564</v>
      </c>
      <c r="X43" s="347"/>
      <c r="Y43" s="347"/>
    </row>
    <row r="44" spans="1:25" ht="12.75">
      <c r="A44" s="201">
        <f t="shared" si="10"/>
        <v>31</v>
      </c>
      <c r="B44" s="143" t="s">
        <v>623</v>
      </c>
      <c r="C44" s="302">
        <v>1017</v>
      </c>
      <c r="D44" s="304">
        <f t="shared" si="0"/>
        <v>1017</v>
      </c>
      <c r="E44" s="301">
        <v>61.019999999999996</v>
      </c>
      <c r="F44" s="264">
        <v>40.68000000000001</v>
      </c>
      <c r="G44" s="301">
        <f t="shared" si="1"/>
        <v>101.7</v>
      </c>
      <c r="H44" s="301">
        <v>1.4299168501564492</v>
      </c>
      <c r="I44" s="264">
        <v>0.9531796847838685</v>
      </c>
      <c r="J44" s="301">
        <f t="shared" si="2"/>
        <v>2.383096534940318</v>
      </c>
      <c r="K44" s="301">
        <v>61.36</v>
      </c>
      <c r="L44" s="264">
        <v>40.91</v>
      </c>
      <c r="M44" s="301">
        <f t="shared" si="3"/>
        <v>102.27</v>
      </c>
      <c r="N44" s="501">
        <v>61.02</v>
      </c>
      <c r="O44" s="502">
        <v>40.68</v>
      </c>
      <c r="P44" s="501">
        <f t="shared" si="4"/>
        <v>101.7</v>
      </c>
      <c r="Q44" s="301">
        <f t="shared" si="5"/>
        <v>1.7699168501564486</v>
      </c>
      <c r="R44" s="301">
        <f t="shared" si="6"/>
        <v>1.183179684783866</v>
      </c>
      <c r="S44" s="301">
        <f t="shared" si="7"/>
        <v>2.9530965349403147</v>
      </c>
      <c r="T44" s="301" t="s">
        <v>659</v>
      </c>
      <c r="U44" s="302">
        <f t="shared" si="8"/>
        <v>1017</v>
      </c>
      <c r="V44" s="302">
        <f t="shared" si="9"/>
        <v>1017</v>
      </c>
      <c r="X44" s="347"/>
      <c r="Y44" s="347"/>
    </row>
    <row r="45" spans="1:22" s="5" customFormat="1" ht="12.75">
      <c r="A45" s="150"/>
      <c r="B45" s="150" t="s">
        <v>624</v>
      </c>
      <c r="C45" s="303">
        <f>SUM(C14:C44)</f>
        <v>34516</v>
      </c>
      <c r="D45" s="303">
        <f aca="true" t="shared" si="11" ref="D45:V45">SUM(D14:D44)</f>
        <v>34516</v>
      </c>
      <c r="E45" s="279">
        <f t="shared" si="11"/>
        <v>2070.9599999999996</v>
      </c>
      <c r="F45" s="279">
        <f t="shared" si="11"/>
        <v>1380.64</v>
      </c>
      <c r="G45" s="279">
        <f t="shared" si="11"/>
        <v>3451.6000000000004</v>
      </c>
      <c r="H45" s="279">
        <f t="shared" si="11"/>
        <v>48.53000000000001</v>
      </c>
      <c r="I45" s="279">
        <f t="shared" si="11"/>
        <v>32.35</v>
      </c>
      <c r="J45" s="279">
        <f t="shared" si="11"/>
        <v>80.88</v>
      </c>
      <c r="K45" s="279">
        <f t="shared" si="11"/>
        <v>2082.5099999999998</v>
      </c>
      <c r="L45" s="279">
        <f t="shared" si="11"/>
        <v>1388.35</v>
      </c>
      <c r="M45" s="279">
        <f t="shared" si="11"/>
        <v>3470.860000000001</v>
      </c>
      <c r="N45" s="279">
        <f t="shared" si="11"/>
        <v>2070.96</v>
      </c>
      <c r="O45" s="279">
        <f t="shared" si="11"/>
        <v>1380.64</v>
      </c>
      <c r="P45" s="279">
        <f t="shared" si="11"/>
        <v>3451.6000000000004</v>
      </c>
      <c r="Q45" s="279">
        <f t="shared" si="11"/>
        <v>60.08</v>
      </c>
      <c r="R45" s="279">
        <f t="shared" si="11"/>
        <v>40.05999999999999</v>
      </c>
      <c r="S45" s="279">
        <f t="shared" si="11"/>
        <v>100.14000000000006</v>
      </c>
      <c r="T45" s="279"/>
      <c r="U45" s="303">
        <f t="shared" si="11"/>
        <v>34516</v>
      </c>
      <c r="V45" s="303">
        <f t="shared" si="11"/>
        <v>34516</v>
      </c>
    </row>
    <row r="46" spans="8:12" ht="12.75">
      <c r="H46" s="347"/>
      <c r="I46" s="347"/>
      <c r="L46" s="347"/>
    </row>
    <row r="47" s="323" customFormat="1" ht="12.75">
      <c r="K47" s="477"/>
    </row>
    <row r="48" spans="11:12" ht="12.75">
      <c r="K48" s="358"/>
      <c r="L48" s="358"/>
    </row>
    <row r="49" spans="18:22" ht="15.75">
      <c r="R49" s="621" t="s">
        <v>860</v>
      </c>
      <c r="S49" s="621"/>
      <c r="T49" s="621"/>
      <c r="U49" s="621"/>
      <c r="V49" s="621"/>
    </row>
    <row r="50" spans="18:22" ht="15.75">
      <c r="R50" s="621" t="s">
        <v>653</v>
      </c>
      <c r="S50" s="621"/>
      <c r="T50" s="621"/>
      <c r="U50" s="621"/>
      <c r="V50" s="621"/>
    </row>
  </sheetData>
  <sheetProtection/>
  <mergeCells count="20">
    <mergeCell ref="D11:D12"/>
    <mergeCell ref="A4:V4"/>
    <mergeCell ref="A3:V3"/>
    <mergeCell ref="R49:V49"/>
    <mergeCell ref="R50:V50"/>
    <mergeCell ref="A8:V8"/>
    <mergeCell ref="H11:J11"/>
    <mergeCell ref="Q11:S11"/>
    <mergeCell ref="E11:G11"/>
    <mergeCell ref="V11:V12"/>
    <mergeCell ref="T1:V1"/>
    <mergeCell ref="A5:Q5"/>
    <mergeCell ref="P9:S9"/>
    <mergeCell ref="C11:C12"/>
    <mergeCell ref="B11:B12"/>
    <mergeCell ref="N11:P11"/>
    <mergeCell ref="A11:A12"/>
    <mergeCell ref="U11:U12"/>
    <mergeCell ref="T11:T12"/>
    <mergeCell ref="K11:M11"/>
  </mergeCells>
  <printOptions horizontalCentered="1"/>
  <pageMargins left="0.42" right="0.37" top="0.43" bottom="0" header="0.31496062992125984" footer="0.31496062992125984"/>
  <pageSetup fitToHeight="1" fitToWidth="1"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view="pageBreakPreview" zoomScale="55" zoomScaleNormal="70" zoomScaleSheetLayoutView="55" zoomScalePageLayoutView="0" workbookViewId="0" topLeftCell="A14">
      <selection activeCell="D37" sqref="D37"/>
    </sheetView>
  </sheetViews>
  <sheetFormatPr defaultColWidth="9.140625" defaultRowHeight="12.75"/>
  <cols>
    <col min="1" max="1" width="9.140625" style="6" customWidth="1"/>
    <col min="2" max="2" width="18.57421875" style="6" customWidth="1"/>
    <col min="3" max="3" width="14.7109375" style="6" customWidth="1"/>
    <col min="4" max="4" width="11.140625" style="6" customWidth="1"/>
    <col min="5" max="5" width="12.421875" style="6" customWidth="1"/>
    <col min="6" max="6" width="12.00390625" style="6" customWidth="1"/>
    <col min="7" max="7" width="13.140625" style="6" customWidth="1"/>
    <col min="8" max="11" width="9.140625" style="6" customWidth="1"/>
    <col min="12" max="12" width="9.28125" style="6" bestFit="1" customWidth="1"/>
    <col min="13" max="19" width="9.140625" style="6" customWidth="1"/>
    <col min="20" max="20" width="10.421875" style="6" customWidth="1"/>
    <col min="21" max="21" width="11.140625" style="6" customWidth="1"/>
    <col min="22" max="22" width="11.8515625" style="6" customWidth="1"/>
    <col min="23" max="16384" width="9.140625" style="6" customWidth="1"/>
  </cols>
  <sheetData>
    <row r="1" spans="20:22" ht="15">
      <c r="T1" s="709" t="s">
        <v>202</v>
      </c>
      <c r="U1" s="709"/>
      <c r="V1" s="709"/>
    </row>
    <row r="3" spans="1:22" ht="15.75">
      <c r="A3" s="562" t="s">
        <v>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</row>
    <row r="4" spans="1:22" ht="20.25">
      <c r="A4" s="623" t="s">
        <v>695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</row>
    <row r="5" spans="1:17" ht="15.75">
      <c r="A5" s="710" t="s">
        <v>668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</row>
    <row r="6" spans="1:21" ht="12.75">
      <c r="A6" s="21"/>
      <c r="B6" s="21"/>
      <c r="C6" s="7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U6" s="21"/>
    </row>
    <row r="7" spans="1:22" ht="15.75">
      <c r="A7" s="564" t="s">
        <v>427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</row>
    <row r="8" spans="1:23" ht="15.75">
      <c r="A8" s="157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U8" s="21"/>
      <c r="V8" s="21" t="s">
        <v>220</v>
      </c>
      <c r="W8" s="21"/>
    </row>
    <row r="9" spans="20:22" ht="12.75">
      <c r="T9" s="30"/>
      <c r="U9" s="427" t="s">
        <v>790</v>
      </c>
      <c r="V9" s="171"/>
    </row>
    <row r="10" spans="1:22" ht="28.5" customHeight="1">
      <c r="A10" s="713" t="s">
        <v>20</v>
      </c>
      <c r="B10" s="642" t="s">
        <v>200</v>
      </c>
      <c r="C10" s="642" t="s">
        <v>360</v>
      </c>
      <c r="D10" s="642" t="s">
        <v>471</v>
      </c>
      <c r="E10" s="561" t="s">
        <v>724</v>
      </c>
      <c r="F10" s="561"/>
      <c r="G10" s="561"/>
      <c r="H10" s="537" t="s">
        <v>787</v>
      </c>
      <c r="I10" s="538"/>
      <c r="J10" s="539"/>
      <c r="K10" s="701" t="s">
        <v>362</v>
      </c>
      <c r="L10" s="702"/>
      <c r="M10" s="703"/>
      <c r="N10" s="653" t="s">
        <v>152</v>
      </c>
      <c r="O10" s="712"/>
      <c r="P10" s="647"/>
      <c r="Q10" s="530" t="s">
        <v>789</v>
      </c>
      <c r="R10" s="530"/>
      <c r="S10" s="530"/>
      <c r="T10" s="642" t="s">
        <v>243</v>
      </c>
      <c r="U10" s="642" t="s">
        <v>416</v>
      </c>
      <c r="V10" s="642" t="s">
        <v>363</v>
      </c>
    </row>
    <row r="11" spans="1:22" ht="69" customHeight="1">
      <c r="A11" s="714"/>
      <c r="B11" s="643"/>
      <c r="C11" s="643"/>
      <c r="D11" s="643"/>
      <c r="E11" s="1" t="s">
        <v>173</v>
      </c>
      <c r="F11" s="1" t="s">
        <v>201</v>
      </c>
      <c r="G11" s="1" t="s">
        <v>16</v>
      </c>
      <c r="H11" s="1" t="s">
        <v>173</v>
      </c>
      <c r="I11" s="1" t="s">
        <v>201</v>
      </c>
      <c r="J11" s="1" t="s">
        <v>16</v>
      </c>
      <c r="K11" s="1" t="s">
        <v>173</v>
      </c>
      <c r="L11" s="1" t="s">
        <v>201</v>
      </c>
      <c r="M11" s="1" t="s">
        <v>16</v>
      </c>
      <c r="N11" s="1" t="s">
        <v>173</v>
      </c>
      <c r="O11" s="1" t="s">
        <v>201</v>
      </c>
      <c r="P11" s="1" t="s">
        <v>16</v>
      </c>
      <c r="Q11" s="1" t="s">
        <v>230</v>
      </c>
      <c r="R11" s="1" t="s">
        <v>212</v>
      </c>
      <c r="S11" s="1" t="s">
        <v>213</v>
      </c>
      <c r="T11" s="643"/>
      <c r="U11" s="643"/>
      <c r="V11" s="643"/>
    </row>
    <row r="12" spans="1:22" ht="12.75">
      <c r="A12" s="75">
        <v>1</v>
      </c>
      <c r="B12" s="48">
        <v>2</v>
      </c>
      <c r="C12" s="143">
        <v>3</v>
      </c>
      <c r="D12" s="75">
        <v>4</v>
      </c>
      <c r="E12" s="48">
        <v>5</v>
      </c>
      <c r="F12" s="143">
        <v>6</v>
      </c>
      <c r="G12" s="75">
        <v>7</v>
      </c>
      <c r="H12" s="48">
        <v>8</v>
      </c>
      <c r="I12" s="143">
        <v>9</v>
      </c>
      <c r="J12" s="75">
        <v>10</v>
      </c>
      <c r="K12" s="48">
        <v>11</v>
      </c>
      <c r="L12" s="143">
        <v>12</v>
      </c>
      <c r="M12" s="75">
        <v>13</v>
      </c>
      <c r="N12" s="48">
        <v>14</v>
      </c>
      <c r="O12" s="143">
        <v>15</v>
      </c>
      <c r="P12" s="75">
        <v>16</v>
      </c>
      <c r="Q12" s="48">
        <v>17</v>
      </c>
      <c r="R12" s="143">
        <v>18</v>
      </c>
      <c r="S12" s="75">
        <v>19</v>
      </c>
      <c r="T12" s="48">
        <v>20</v>
      </c>
      <c r="U12" s="75">
        <v>21</v>
      </c>
      <c r="V12" s="48">
        <v>22</v>
      </c>
    </row>
    <row r="13" spans="1:25" ht="12.75">
      <c r="A13" s="201">
        <v>1</v>
      </c>
      <c r="B13" s="201" t="s">
        <v>633</v>
      </c>
      <c r="C13" s="8">
        <v>619</v>
      </c>
      <c r="D13" s="8">
        <f>C13</f>
        <v>619</v>
      </c>
      <c r="E13" s="296">
        <v>37.14</v>
      </c>
      <c r="F13" s="296">
        <v>24.76</v>
      </c>
      <c r="G13" s="296">
        <f>SUM(E13:F13)</f>
        <v>61.900000000000006</v>
      </c>
      <c r="H13" s="296">
        <v>0.870606106715358</v>
      </c>
      <c r="I13" s="296">
        <v>0.5805087238790829</v>
      </c>
      <c r="J13" s="296">
        <f>SUM(H13:I13)</f>
        <v>1.4511148305944408</v>
      </c>
      <c r="K13" s="296">
        <v>36.78</v>
      </c>
      <c r="L13" s="296">
        <v>24.52</v>
      </c>
      <c r="M13" s="296">
        <f>SUM(K13:L13)</f>
        <v>61.3</v>
      </c>
      <c r="N13" s="296">
        <f>D13*10*600/100000</f>
        <v>37.14</v>
      </c>
      <c r="O13" s="296">
        <f>D13*10*400/100000</f>
        <v>24.76</v>
      </c>
      <c r="P13" s="296">
        <f>SUM(N13:O13)</f>
        <v>61.900000000000006</v>
      </c>
      <c r="Q13" s="296">
        <f>H13+K13-N13</f>
        <v>0.5106061067153576</v>
      </c>
      <c r="R13" s="296">
        <f>I13+L13-O13</f>
        <v>0.34050872387907916</v>
      </c>
      <c r="S13" s="296">
        <f>J13+M13-P13</f>
        <v>0.8511148305944332</v>
      </c>
      <c r="T13" s="296" t="s">
        <v>659</v>
      </c>
      <c r="U13" s="8">
        <f>D13</f>
        <v>619</v>
      </c>
      <c r="V13" s="8">
        <f>D13</f>
        <v>619</v>
      </c>
      <c r="X13" s="347"/>
      <c r="Y13" s="347"/>
    </row>
    <row r="14" spans="1:25" ht="12.75">
      <c r="A14" s="201">
        <f>A13+1</f>
        <v>2</v>
      </c>
      <c r="B14" s="201" t="s">
        <v>598</v>
      </c>
      <c r="C14" s="8">
        <v>586</v>
      </c>
      <c r="D14" s="8">
        <f aca="true" t="shared" si="0" ref="D14:D43">C14</f>
        <v>586</v>
      </c>
      <c r="E14" s="296">
        <v>35.16</v>
      </c>
      <c r="F14" s="296">
        <v>23.439999999999998</v>
      </c>
      <c r="G14" s="296">
        <f aca="true" t="shared" si="1" ref="G14:G43">SUM(E14:F14)</f>
        <v>58.599999999999994</v>
      </c>
      <c r="H14" s="296">
        <v>0.8241925339825523</v>
      </c>
      <c r="I14" s="296">
        <v>0.5495607628322174</v>
      </c>
      <c r="J14" s="296">
        <f aca="true" t="shared" si="2" ref="J14:J43">SUM(H14:I14)</f>
        <v>1.3737532968147699</v>
      </c>
      <c r="K14" s="296">
        <v>34.82</v>
      </c>
      <c r="L14" s="296">
        <v>23.21</v>
      </c>
      <c r="M14" s="296">
        <f aca="true" t="shared" si="3" ref="M14:M43">SUM(K14:L14)</f>
        <v>58.03</v>
      </c>
      <c r="N14" s="296">
        <f aca="true" t="shared" si="4" ref="N14:N43">D14*10*600/100000</f>
        <v>35.16</v>
      </c>
      <c r="O14" s="296">
        <f aca="true" t="shared" si="5" ref="O14:O43">D14*10*400/100000</f>
        <v>23.44</v>
      </c>
      <c r="P14" s="296">
        <f aca="true" t="shared" si="6" ref="P14:P43">SUM(N14:O14)</f>
        <v>58.599999999999994</v>
      </c>
      <c r="Q14" s="296">
        <f aca="true" t="shared" si="7" ref="Q14:Q43">H14+K14-N14</f>
        <v>0.4841925339825579</v>
      </c>
      <c r="R14" s="296">
        <f aca="true" t="shared" si="8" ref="R14:R43">I14+L14-O14</f>
        <v>0.3195607628322179</v>
      </c>
      <c r="S14" s="296">
        <f aca="true" t="shared" si="9" ref="S14:S43">J14+M14-P14</f>
        <v>0.8037532968147758</v>
      </c>
      <c r="T14" s="296" t="s">
        <v>659</v>
      </c>
      <c r="U14" s="8">
        <f aca="true" t="shared" si="10" ref="U14:U43">D14</f>
        <v>586</v>
      </c>
      <c r="V14" s="8">
        <f aca="true" t="shared" si="11" ref="V14:V43">D14</f>
        <v>586</v>
      </c>
      <c r="X14" s="347"/>
      <c r="Y14" s="347"/>
    </row>
    <row r="15" spans="1:25" ht="12.75">
      <c r="A15" s="201">
        <f aca="true" t="shared" si="12" ref="A15:A43">A14+1</f>
        <v>3</v>
      </c>
      <c r="B15" s="201" t="s">
        <v>634</v>
      </c>
      <c r="C15" s="8">
        <v>283</v>
      </c>
      <c r="D15" s="8">
        <f t="shared" si="0"/>
        <v>283</v>
      </c>
      <c r="E15" s="296">
        <v>16.979999999999997</v>
      </c>
      <c r="F15" s="296">
        <v>11.32</v>
      </c>
      <c r="G15" s="296">
        <f t="shared" si="1"/>
        <v>28.299999999999997</v>
      </c>
      <c r="H15" s="296">
        <v>0.39803154798133494</v>
      </c>
      <c r="I15" s="296">
        <v>0.26540221140190706</v>
      </c>
      <c r="J15" s="296">
        <f t="shared" si="2"/>
        <v>0.663433759383242</v>
      </c>
      <c r="K15" s="296">
        <v>16.81</v>
      </c>
      <c r="L15" s="296">
        <v>11.21</v>
      </c>
      <c r="M15" s="296">
        <f t="shared" si="3"/>
        <v>28.02</v>
      </c>
      <c r="N15" s="296">
        <f t="shared" si="4"/>
        <v>16.98</v>
      </c>
      <c r="O15" s="296">
        <f t="shared" si="5"/>
        <v>11.32</v>
      </c>
      <c r="P15" s="296">
        <f t="shared" si="6"/>
        <v>28.3</v>
      </c>
      <c r="Q15" s="296">
        <f t="shared" si="7"/>
        <v>0.22803154798133463</v>
      </c>
      <c r="R15" s="296">
        <f t="shared" si="8"/>
        <v>0.15540221140190802</v>
      </c>
      <c r="S15" s="296">
        <f t="shared" si="9"/>
        <v>0.38343375938324087</v>
      </c>
      <c r="T15" s="296" t="s">
        <v>659</v>
      </c>
      <c r="U15" s="8">
        <f t="shared" si="10"/>
        <v>283</v>
      </c>
      <c r="V15" s="8">
        <f t="shared" si="11"/>
        <v>283</v>
      </c>
      <c r="X15" s="347"/>
      <c r="Y15" s="347"/>
    </row>
    <row r="16" spans="1:25" ht="12.75">
      <c r="A16" s="201">
        <f t="shared" si="12"/>
        <v>4</v>
      </c>
      <c r="B16" s="201" t="s">
        <v>599</v>
      </c>
      <c r="C16" s="8">
        <v>768</v>
      </c>
      <c r="D16" s="8">
        <f t="shared" si="0"/>
        <v>768</v>
      </c>
      <c r="E16" s="296">
        <v>46.08</v>
      </c>
      <c r="F16" s="296">
        <v>30.72</v>
      </c>
      <c r="G16" s="296">
        <f t="shared" si="1"/>
        <v>76.8</v>
      </c>
      <c r="H16" s="296">
        <v>1.0801704199634814</v>
      </c>
      <c r="I16" s="296">
        <v>0.7202434570906877</v>
      </c>
      <c r="J16" s="296">
        <f t="shared" si="2"/>
        <v>1.800413877054169</v>
      </c>
      <c r="K16" s="296">
        <v>45.63</v>
      </c>
      <c r="L16" s="296">
        <v>30.42</v>
      </c>
      <c r="M16" s="296">
        <f t="shared" si="3"/>
        <v>76.05000000000001</v>
      </c>
      <c r="N16" s="296">
        <f t="shared" si="4"/>
        <v>46.08</v>
      </c>
      <c r="O16" s="296">
        <f t="shared" si="5"/>
        <v>30.72</v>
      </c>
      <c r="P16" s="296">
        <f t="shared" si="6"/>
        <v>76.8</v>
      </c>
      <c r="Q16" s="296">
        <f t="shared" si="7"/>
        <v>0.6301704199634841</v>
      </c>
      <c r="R16" s="296">
        <f t="shared" si="8"/>
        <v>0.42024345709069166</v>
      </c>
      <c r="S16" s="296">
        <f t="shared" si="9"/>
        <v>1.0504138770541829</v>
      </c>
      <c r="T16" s="296" t="s">
        <v>659</v>
      </c>
      <c r="U16" s="8">
        <f t="shared" si="10"/>
        <v>768</v>
      </c>
      <c r="V16" s="8">
        <f t="shared" si="11"/>
        <v>768</v>
      </c>
      <c r="X16" s="347"/>
      <c r="Y16" s="347"/>
    </row>
    <row r="17" spans="1:25" ht="12.75">
      <c r="A17" s="201">
        <f t="shared" si="12"/>
        <v>5</v>
      </c>
      <c r="B17" s="201" t="s">
        <v>600</v>
      </c>
      <c r="C17" s="8">
        <v>492</v>
      </c>
      <c r="D17" s="8">
        <f t="shared" si="0"/>
        <v>492</v>
      </c>
      <c r="E17" s="296">
        <v>29.52</v>
      </c>
      <c r="F17" s="296">
        <v>19.680000000000003</v>
      </c>
      <c r="G17" s="296">
        <f t="shared" si="1"/>
        <v>49.2</v>
      </c>
      <c r="H17" s="296">
        <v>0.6919841752891053</v>
      </c>
      <c r="I17" s="296">
        <v>0.46140596469872186</v>
      </c>
      <c r="J17" s="296">
        <f t="shared" si="2"/>
        <v>1.153390139987827</v>
      </c>
      <c r="K17" s="296">
        <v>29.23</v>
      </c>
      <c r="L17" s="296">
        <v>19.49</v>
      </c>
      <c r="M17" s="296">
        <f t="shared" si="3"/>
        <v>48.72</v>
      </c>
      <c r="N17" s="296">
        <f t="shared" si="4"/>
        <v>29.52</v>
      </c>
      <c r="O17" s="296">
        <f t="shared" si="5"/>
        <v>19.68</v>
      </c>
      <c r="P17" s="296">
        <f t="shared" si="6"/>
        <v>49.2</v>
      </c>
      <c r="Q17" s="296">
        <f t="shared" si="7"/>
        <v>0.4019841752891047</v>
      </c>
      <c r="R17" s="296">
        <f t="shared" si="8"/>
        <v>0.27140596469872236</v>
      </c>
      <c r="S17" s="296">
        <f t="shared" si="9"/>
        <v>0.6733901399878235</v>
      </c>
      <c r="T17" s="296" t="s">
        <v>659</v>
      </c>
      <c r="U17" s="8">
        <f t="shared" si="10"/>
        <v>492</v>
      </c>
      <c r="V17" s="8">
        <f t="shared" si="11"/>
        <v>492</v>
      </c>
      <c r="X17" s="347"/>
      <c r="Y17" s="347"/>
    </row>
    <row r="18" spans="1:25" ht="12.75">
      <c r="A18" s="201">
        <f t="shared" si="12"/>
        <v>6</v>
      </c>
      <c r="B18" s="201" t="s">
        <v>601</v>
      </c>
      <c r="C18" s="8">
        <v>558</v>
      </c>
      <c r="D18" s="8">
        <f t="shared" si="0"/>
        <v>558</v>
      </c>
      <c r="E18" s="296">
        <v>33.47999999999999</v>
      </c>
      <c r="F18" s="296">
        <v>22.319999999999997</v>
      </c>
      <c r="G18" s="296">
        <f t="shared" si="1"/>
        <v>55.79999999999998</v>
      </c>
      <c r="H18" s="296">
        <v>0.7848113207547169</v>
      </c>
      <c r="I18" s="296">
        <v>0.5233018867924527</v>
      </c>
      <c r="J18" s="296">
        <f t="shared" si="2"/>
        <v>1.3081132075471698</v>
      </c>
      <c r="K18" s="296">
        <v>33.15</v>
      </c>
      <c r="L18" s="296">
        <v>22.1</v>
      </c>
      <c r="M18" s="296">
        <f t="shared" si="3"/>
        <v>55.25</v>
      </c>
      <c r="N18" s="296">
        <f t="shared" si="4"/>
        <v>33.48</v>
      </c>
      <c r="O18" s="296">
        <f t="shared" si="5"/>
        <v>22.32</v>
      </c>
      <c r="P18" s="296">
        <f t="shared" si="6"/>
        <v>55.8</v>
      </c>
      <c r="Q18" s="296">
        <f t="shared" si="7"/>
        <v>0.45481132075472175</v>
      </c>
      <c r="R18" s="296">
        <f t="shared" si="8"/>
        <v>0.30330188679245396</v>
      </c>
      <c r="S18" s="296">
        <f t="shared" si="9"/>
        <v>0.7581132075471757</v>
      </c>
      <c r="T18" s="296" t="s">
        <v>659</v>
      </c>
      <c r="U18" s="8">
        <f t="shared" si="10"/>
        <v>558</v>
      </c>
      <c r="V18" s="8">
        <f t="shared" si="11"/>
        <v>558</v>
      </c>
      <c r="X18" s="347"/>
      <c r="Y18" s="347"/>
    </row>
    <row r="19" spans="1:25" ht="12.75">
      <c r="A19" s="201">
        <f t="shared" si="12"/>
        <v>7</v>
      </c>
      <c r="B19" s="201" t="s">
        <v>602</v>
      </c>
      <c r="C19" s="8">
        <v>402</v>
      </c>
      <c r="D19" s="8">
        <f t="shared" si="0"/>
        <v>402</v>
      </c>
      <c r="E19" s="296">
        <v>24.119999999999994</v>
      </c>
      <c r="F19" s="296">
        <v>16.079999999999995</v>
      </c>
      <c r="G19" s="296">
        <f t="shared" si="1"/>
        <v>40.19999999999999</v>
      </c>
      <c r="H19" s="296">
        <v>0.5654017041996349</v>
      </c>
      <c r="I19" s="296">
        <v>0.3770024345709069</v>
      </c>
      <c r="J19" s="296">
        <f t="shared" si="2"/>
        <v>0.9424041387705417</v>
      </c>
      <c r="K19" s="296">
        <v>23.88</v>
      </c>
      <c r="L19" s="296">
        <v>15.92</v>
      </c>
      <c r="M19" s="296">
        <f t="shared" si="3"/>
        <v>39.8</v>
      </c>
      <c r="N19" s="296">
        <f t="shared" si="4"/>
        <v>24.12</v>
      </c>
      <c r="O19" s="296">
        <f t="shared" si="5"/>
        <v>16.08</v>
      </c>
      <c r="P19" s="296">
        <f t="shared" si="6"/>
        <v>40.2</v>
      </c>
      <c r="Q19" s="296">
        <f t="shared" si="7"/>
        <v>0.3254017041996313</v>
      </c>
      <c r="R19" s="296">
        <f t="shared" si="8"/>
        <v>0.21700243457090806</v>
      </c>
      <c r="S19" s="296">
        <f t="shared" si="9"/>
        <v>0.5424041387705358</v>
      </c>
      <c r="T19" s="296" t="s">
        <v>659</v>
      </c>
      <c r="U19" s="8">
        <f t="shared" si="10"/>
        <v>402</v>
      </c>
      <c r="V19" s="8">
        <f t="shared" si="11"/>
        <v>402</v>
      </c>
      <c r="X19" s="347"/>
      <c r="Y19" s="347"/>
    </row>
    <row r="20" spans="1:25" ht="12.75">
      <c r="A20" s="201">
        <f t="shared" si="12"/>
        <v>8</v>
      </c>
      <c r="B20" s="201" t="s">
        <v>603</v>
      </c>
      <c r="C20" s="8">
        <v>901</v>
      </c>
      <c r="D20" s="8">
        <f t="shared" si="0"/>
        <v>901</v>
      </c>
      <c r="E20" s="296">
        <v>54.059999999999995</v>
      </c>
      <c r="F20" s="296">
        <v>36.04</v>
      </c>
      <c r="G20" s="296">
        <f t="shared" si="1"/>
        <v>90.1</v>
      </c>
      <c r="H20" s="296">
        <v>1.2672311827956988</v>
      </c>
      <c r="I20" s="296">
        <v>0.8449731182795698</v>
      </c>
      <c r="J20" s="296">
        <f t="shared" si="2"/>
        <v>2.1122043010752685</v>
      </c>
      <c r="K20" s="296">
        <v>53.53</v>
      </c>
      <c r="L20" s="296">
        <v>35.69</v>
      </c>
      <c r="M20" s="296">
        <f t="shared" si="3"/>
        <v>89.22</v>
      </c>
      <c r="N20" s="296">
        <f t="shared" si="4"/>
        <v>54.06</v>
      </c>
      <c r="O20" s="296">
        <f t="shared" si="5"/>
        <v>36.04</v>
      </c>
      <c r="P20" s="296">
        <f t="shared" si="6"/>
        <v>90.1</v>
      </c>
      <c r="Q20" s="296">
        <f t="shared" si="7"/>
        <v>0.7372311827956963</v>
      </c>
      <c r="R20" s="296">
        <f t="shared" si="8"/>
        <v>0.49497311827956736</v>
      </c>
      <c r="S20" s="296">
        <f t="shared" si="9"/>
        <v>1.2322043010752708</v>
      </c>
      <c r="T20" s="296" t="s">
        <v>659</v>
      </c>
      <c r="U20" s="8">
        <f t="shared" si="10"/>
        <v>901</v>
      </c>
      <c r="V20" s="8">
        <f t="shared" si="11"/>
        <v>901</v>
      </c>
      <c r="X20" s="347"/>
      <c r="Y20" s="347"/>
    </row>
    <row r="21" spans="1:25" ht="12.75">
      <c r="A21" s="201">
        <f t="shared" si="12"/>
        <v>9</v>
      </c>
      <c r="B21" s="201" t="s">
        <v>604</v>
      </c>
      <c r="C21" s="8">
        <v>556</v>
      </c>
      <c r="D21" s="8">
        <f t="shared" si="0"/>
        <v>556</v>
      </c>
      <c r="E21" s="296">
        <v>33.35999999999999</v>
      </c>
      <c r="F21" s="296">
        <v>22.24</v>
      </c>
      <c r="G21" s="296">
        <f t="shared" si="1"/>
        <v>55.599999999999994</v>
      </c>
      <c r="H21" s="296">
        <v>0.7819983769527288</v>
      </c>
      <c r="I21" s="296">
        <v>0.5214262527896124</v>
      </c>
      <c r="J21" s="296">
        <f t="shared" si="2"/>
        <v>1.303424629742341</v>
      </c>
      <c r="K21" s="296">
        <v>33.03</v>
      </c>
      <c r="L21" s="296">
        <v>22.02</v>
      </c>
      <c r="M21" s="296">
        <f t="shared" si="3"/>
        <v>55.05</v>
      </c>
      <c r="N21" s="296">
        <f t="shared" si="4"/>
        <v>33.36</v>
      </c>
      <c r="O21" s="296">
        <f t="shared" si="5"/>
        <v>22.24</v>
      </c>
      <c r="P21" s="296">
        <f t="shared" si="6"/>
        <v>55.599999999999994</v>
      </c>
      <c r="Q21" s="296">
        <f t="shared" si="7"/>
        <v>0.45199837695273004</v>
      </c>
      <c r="R21" s="296">
        <f t="shared" si="8"/>
        <v>0.3014262527896143</v>
      </c>
      <c r="S21" s="296">
        <f t="shared" si="9"/>
        <v>0.7534246297423408</v>
      </c>
      <c r="T21" s="296" t="s">
        <v>659</v>
      </c>
      <c r="U21" s="8">
        <f t="shared" si="10"/>
        <v>556</v>
      </c>
      <c r="V21" s="8">
        <f t="shared" si="11"/>
        <v>556</v>
      </c>
      <c r="X21" s="347"/>
      <c r="Y21" s="347"/>
    </row>
    <row r="22" spans="1:25" ht="12.75">
      <c r="A22" s="201">
        <f t="shared" si="12"/>
        <v>10</v>
      </c>
      <c r="B22" s="201" t="s">
        <v>605</v>
      </c>
      <c r="C22" s="8">
        <v>984</v>
      </c>
      <c r="D22" s="8">
        <f t="shared" si="0"/>
        <v>984</v>
      </c>
      <c r="E22" s="296">
        <v>59.04</v>
      </c>
      <c r="F22" s="296">
        <v>39.36000000000001</v>
      </c>
      <c r="G22" s="296">
        <f t="shared" si="1"/>
        <v>98.4</v>
      </c>
      <c r="H22" s="296">
        <v>1.3839683505782105</v>
      </c>
      <c r="I22" s="296">
        <v>0.9228119293974437</v>
      </c>
      <c r="J22" s="296">
        <f t="shared" si="2"/>
        <v>2.306780279975654</v>
      </c>
      <c r="K22" s="296">
        <v>58.46</v>
      </c>
      <c r="L22" s="296">
        <v>38.98</v>
      </c>
      <c r="M22" s="296">
        <f t="shared" si="3"/>
        <v>97.44</v>
      </c>
      <c r="N22" s="296">
        <f t="shared" si="4"/>
        <v>59.04</v>
      </c>
      <c r="O22" s="296">
        <f t="shared" si="5"/>
        <v>39.36</v>
      </c>
      <c r="P22" s="296">
        <f t="shared" si="6"/>
        <v>98.4</v>
      </c>
      <c r="Q22" s="296">
        <f t="shared" si="7"/>
        <v>0.8039683505782094</v>
      </c>
      <c r="R22" s="296">
        <f t="shared" si="8"/>
        <v>0.5428119293974447</v>
      </c>
      <c r="S22" s="296">
        <f t="shared" si="9"/>
        <v>1.346780279975647</v>
      </c>
      <c r="T22" s="296" t="s">
        <v>659</v>
      </c>
      <c r="U22" s="8">
        <f t="shared" si="10"/>
        <v>984</v>
      </c>
      <c r="V22" s="8">
        <f t="shared" si="11"/>
        <v>984</v>
      </c>
      <c r="X22" s="347"/>
      <c r="Y22" s="347"/>
    </row>
    <row r="23" spans="1:25" ht="12.75">
      <c r="A23" s="201">
        <f t="shared" si="12"/>
        <v>11</v>
      </c>
      <c r="B23" s="201" t="s">
        <v>635</v>
      </c>
      <c r="C23" s="8">
        <v>430</v>
      </c>
      <c r="D23" s="8">
        <f t="shared" si="0"/>
        <v>430</v>
      </c>
      <c r="E23" s="296">
        <v>25.799999999999994</v>
      </c>
      <c r="F23" s="296">
        <v>17.2</v>
      </c>
      <c r="G23" s="296">
        <f t="shared" si="1"/>
        <v>42.99999999999999</v>
      </c>
      <c r="H23" s="296">
        <v>0.60478291742747</v>
      </c>
      <c r="I23" s="296">
        <v>0.4032613106106715</v>
      </c>
      <c r="J23" s="296">
        <f t="shared" si="2"/>
        <v>1.0080442280381416</v>
      </c>
      <c r="K23" s="296">
        <v>25.55</v>
      </c>
      <c r="L23" s="296">
        <v>17.03</v>
      </c>
      <c r="M23" s="296">
        <f t="shared" si="3"/>
        <v>42.58</v>
      </c>
      <c r="N23" s="296">
        <f t="shared" si="4"/>
        <v>25.8</v>
      </c>
      <c r="O23" s="296">
        <f t="shared" si="5"/>
        <v>17.2</v>
      </c>
      <c r="P23" s="296">
        <f t="shared" si="6"/>
        <v>43</v>
      </c>
      <c r="Q23" s="296">
        <f t="shared" si="7"/>
        <v>0.35478291742747103</v>
      </c>
      <c r="R23" s="296">
        <f t="shared" si="8"/>
        <v>0.233261310610672</v>
      </c>
      <c r="S23" s="296">
        <f t="shared" si="9"/>
        <v>0.588044228038143</v>
      </c>
      <c r="T23" s="296" t="s">
        <v>659</v>
      </c>
      <c r="U23" s="8">
        <f t="shared" si="10"/>
        <v>430</v>
      </c>
      <c r="V23" s="8">
        <f t="shared" si="11"/>
        <v>430</v>
      </c>
      <c r="X23" s="347"/>
      <c r="Y23" s="347"/>
    </row>
    <row r="24" spans="1:25" ht="12.75">
      <c r="A24" s="201">
        <f t="shared" si="12"/>
        <v>12</v>
      </c>
      <c r="B24" s="201" t="s">
        <v>606</v>
      </c>
      <c r="C24" s="8">
        <v>557</v>
      </c>
      <c r="D24" s="8">
        <f t="shared" si="0"/>
        <v>557</v>
      </c>
      <c r="E24" s="296">
        <v>33.419999999999995</v>
      </c>
      <c r="F24" s="296">
        <v>22.28</v>
      </c>
      <c r="G24" s="296">
        <f t="shared" si="1"/>
        <v>55.699999999999996</v>
      </c>
      <c r="H24" s="296">
        <v>0.7834048488537229</v>
      </c>
      <c r="I24" s="296">
        <v>0.5223640697910326</v>
      </c>
      <c r="J24" s="296">
        <f t="shared" si="2"/>
        <v>1.3057689186447554</v>
      </c>
      <c r="K24" s="296">
        <v>33.09</v>
      </c>
      <c r="L24" s="296">
        <v>22.06</v>
      </c>
      <c r="M24" s="296">
        <f t="shared" si="3"/>
        <v>55.150000000000006</v>
      </c>
      <c r="N24" s="296">
        <f t="shared" si="4"/>
        <v>33.42</v>
      </c>
      <c r="O24" s="296">
        <f t="shared" si="5"/>
        <v>22.28</v>
      </c>
      <c r="P24" s="296">
        <f t="shared" si="6"/>
        <v>55.7</v>
      </c>
      <c r="Q24" s="296">
        <f t="shared" si="7"/>
        <v>0.45340484885372234</v>
      </c>
      <c r="R24" s="296">
        <f t="shared" si="8"/>
        <v>0.3023640697910288</v>
      </c>
      <c r="S24" s="296">
        <f t="shared" si="9"/>
        <v>0.7557689186447618</v>
      </c>
      <c r="T24" s="296" t="s">
        <v>659</v>
      </c>
      <c r="U24" s="8">
        <f t="shared" si="10"/>
        <v>557</v>
      </c>
      <c r="V24" s="8">
        <f t="shared" si="11"/>
        <v>557</v>
      </c>
      <c r="X24" s="347"/>
      <c r="Y24" s="347"/>
    </row>
    <row r="25" spans="1:25" ht="12.75">
      <c r="A25" s="201">
        <f t="shared" si="12"/>
        <v>13</v>
      </c>
      <c r="B25" s="201" t="s">
        <v>607</v>
      </c>
      <c r="C25" s="8">
        <v>1377</v>
      </c>
      <c r="D25" s="8">
        <f t="shared" si="0"/>
        <v>1377</v>
      </c>
      <c r="E25" s="296">
        <v>82.61999999999999</v>
      </c>
      <c r="F25" s="296">
        <v>55.08</v>
      </c>
      <c r="G25" s="296">
        <f t="shared" si="1"/>
        <v>137.7</v>
      </c>
      <c r="H25" s="296">
        <v>1.9367118076688983</v>
      </c>
      <c r="I25" s="296">
        <v>1.2913740109555691</v>
      </c>
      <c r="J25" s="296">
        <f t="shared" si="2"/>
        <v>3.2280858186244674</v>
      </c>
      <c r="K25" s="296">
        <v>81.81</v>
      </c>
      <c r="L25" s="296">
        <v>54.54</v>
      </c>
      <c r="M25" s="296">
        <f t="shared" si="3"/>
        <v>136.35</v>
      </c>
      <c r="N25" s="296">
        <f t="shared" si="4"/>
        <v>82.62</v>
      </c>
      <c r="O25" s="296">
        <f t="shared" si="5"/>
        <v>55.08</v>
      </c>
      <c r="P25" s="296">
        <f t="shared" si="6"/>
        <v>137.7</v>
      </c>
      <c r="Q25" s="296">
        <f t="shared" si="7"/>
        <v>1.1267118076688973</v>
      </c>
      <c r="R25" s="296">
        <f t="shared" si="8"/>
        <v>0.7513740109555727</v>
      </c>
      <c r="S25" s="296">
        <f t="shared" si="9"/>
        <v>1.87808581862447</v>
      </c>
      <c r="T25" s="296" t="s">
        <v>659</v>
      </c>
      <c r="U25" s="8">
        <f t="shared" si="10"/>
        <v>1377</v>
      </c>
      <c r="V25" s="8">
        <f t="shared" si="11"/>
        <v>1377</v>
      </c>
      <c r="X25" s="347"/>
      <c r="Y25" s="347"/>
    </row>
    <row r="26" spans="1:25" ht="12.75">
      <c r="A26" s="201">
        <f t="shared" si="12"/>
        <v>14</v>
      </c>
      <c r="B26" s="201" t="s">
        <v>636</v>
      </c>
      <c r="C26" s="8">
        <v>527</v>
      </c>
      <c r="D26" s="8">
        <f t="shared" si="0"/>
        <v>527</v>
      </c>
      <c r="E26" s="296">
        <v>31.62</v>
      </c>
      <c r="F26" s="296">
        <v>21.080000000000002</v>
      </c>
      <c r="G26" s="296">
        <f t="shared" si="1"/>
        <v>52.7</v>
      </c>
      <c r="H26" s="296">
        <v>0.7412106918238994</v>
      </c>
      <c r="I26" s="296">
        <v>0.49422955974842764</v>
      </c>
      <c r="J26" s="296">
        <f t="shared" si="2"/>
        <v>1.235440251572327</v>
      </c>
      <c r="K26" s="296">
        <v>31.31</v>
      </c>
      <c r="L26" s="296">
        <v>20.87</v>
      </c>
      <c r="M26" s="296">
        <f t="shared" si="3"/>
        <v>52.18</v>
      </c>
      <c r="N26" s="296">
        <f t="shared" si="4"/>
        <v>31.62</v>
      </c>
      <c r="O26" s="296">
        <f t="shared" si="5"/>
        <v>21.08</v>
      </c>
      <c r="P26" s="296">
        <f t="shared" si="6"/>
        <v>52.7</v>
      </c>
      <c r="Q26" s="296">
        <f t="shared" si="7"/>
        <v>0.43121069182389604</v>
      </c>
      <c r="R26" s="296">
        <f t="shared" si="8"/>
        <v>0.2842295597484288</v>
      </c>
      <c r="S26" s="296">
        <f t="shared" si="9"/>
        <v>0.7154402515723248</v>
      </c>
      <c r="T26" s="296" t="s">
        <v>659</v>
      </c>
      <c r="U26" s="8">
        <f t="shared" si="10"/>
        <v>527</v>
      </c>
      <c r="V26" s="8">
        <f t="shared" si="11"/>
        <v>527</v>
      </c>
      <c r="X26" s="347"/>
      <c r="Y26" s="347"/>
    </row>
    <row r="27" spans="1:25" ht="12.75">
      <c r="A27" s="201">
        <f t="shared" si="12"/>
        <v>15</v>
      </c>
      <c r="B27" s="201" t="s">
        <v>608</v>
      </c>
      <c r="C27" s="8">
        <v>763</v>
      </c>
      <c r="D27" s="8">
        <f t="shared" si="0"/>
        <v>763</v>
      </c>
      <c r="E27" s="296">
        <v>45.779999999999994</v>
      </c>
      <c r="F27" s="296">
        <v>30.52</v>
      </c>
      <c r="G27" s="296">
        <f t="shared" si="1"/>
        <v>76.3</v>
      </c>
      <c r="H27" s="296">
        <v>1.073138060458511</v>
      </c>
      <c r="I27" s="296">
        <v>0.7155543720835869</v>
      </c>
      <c r="J27" s="296">
        <f t="shared" si="2"/>
        <v>1.7886924325420979</v>
      </c>
      <c r="K27" s="296">
        <v>45.33</v>
      </c>
      <c r="L27" s="296">
        <v>30.22</v>
      </c>
      <c r="M27" s="296">
        <f t="shared" si="3"/>
        <v>75.55</v>
      </c>
      <c r="N27" s="296">
        <f t="shared" si="4"/>
        <v>45.78</v>
      </c>
      <c r="O27" s="296">
        <f t="shared" si="5"/>
        <v>30.52</v>
      </c>
      <c r="P27" s="296">
        <f t="shared" si="6"/>
        <v>76.3</v>
      </c>
      <c r="Q27" s="296">
        <f t="shared" si="7"/>
        <v>0.6231380604585084</v>
      </c>
      <c r="R27" s="296">
        <f t="shared" si="8"/>
        <v>0.41555437208358725</v>
      </c>
      <c r="S27" s="296">
        <f t="shared" si="9"/>
        <v>1.038692432542092</v>
      </c>
      <c r="T27" s="296" t="s">
        <v>659</v>
      </c>
      <c r="U27" s="8">
        <f t="shared" si="10"/>
        <v>763</v>
      </c>
      <c r="V27" s="8">
        <f t="shared" si="11"/>
        <v>763</v>
      </c>
      <c r="X27" s="347"/>
      <c r="Y27" s="347"/>
    </row>
    <row r="28" spans="1:25" ht="12.75">
      <c r="A28" s="201">
        <f t="shared" si="12"/>
        <v>16</v>
      </c>
      <c r="B28" s="201" t="s">
        <v>609</v>
      </c>
      <c r="C28" s="8">
        <v>347</v>
      </c>
      <c r="D28" s="8">
        <f t="shared" si="0"/>
        <v>347</v>
      </c>
      <c r="E28" s="296">
        <v>20.82</v>
      </c>
      <c r="F28" s="296">
        <v>13.880000000000003</v>
      </c>
      <c r="G28" s="296">
        <f t="shared" si="1"/>
        <v>34.7</v>
      </c>
      <c r="H28" s="296">
        <v>0.4880457496449584</v>
      </c>
      <c r="I28" s="296">
        <v>0.3254224994927977</v>
      </c>
      <c r="J28" s="296">
        <f t="shared" si="2"/>
        <v>0.8134682491377561</v>
      </c>
      <c r="K28" s="296">
        <v>20.62</v>
      </c>
      <c r="L28" s="296">
        <v>13.74</v>
      </c>
      <c r="M28" s="296">
        <f t="shared" si="3"/>
        <v>34.36</v>
      </c>
      <c r="N28" s="296">
        <f t="shared" si="4"/>
        <v>20.82</v>
      </c>
      <c r="O28" s="296">
        <f t="shared" si="5"/>
        <v>13.88</v>
      </c>
      <c r="P28" s="296">
        <f t="shared" si="6"/>
        <v>34.7</v>
      </c>
      <c r="Q28" s="296">
        <f t="shared" si="7"/>
        <v>0.288045749644958</v>
      </c>
      <c r="R28" s="296">
        <f t="shared" si="8"/>
        <v>0.18542249949279643</v>
      </c>
      <c r="S28" s="296">
        <f t="shared" si="9"/>
        <v>0.47346824913775265</v>
      </c>
      <c r="T28" s="296" t="s">
        <v>659</v>
      </c>
      <c r="U28" s="8">
        <f t="shared" si="10"/>
        <v>347</v>
      </c>
      <c r="V28" s="8">
        <f t="shared" si="11"/>
        <v>347</v>
      </c>
      <c r="X28" s="347"/>
      <c r="Y28" s="347"/>
    </row>
    <row r="29" spans="1:25" ht="12.75">
      <c r="A29" s="201">
        <f t="shared" si="12"/>
        <v>17</v>
      </c>
      <c r="B29" s="201" t="s">
        <v>610</v>
      </c>
      <c r="C29" s="8">
        <v>743</v>
      </c>
      <c r="D29" s="8">
        <f t="shared" si="0"/>
        <v>743</v>
      </c>
      <c r="E29" s="296">
        <v>44.58</v>
      </c>
      <c r="F29" s="296">
        <v>29.72</v>
      </c>
      <c r="G29" s="296">
        <f t="shared" si="1"/>
        <v>74.3</v>
      </c>
      <c r="H29" s="296">
        <v>1.0450086224386286</v>
      </c>
      <c r="I29" s="296">
        <v>0.6967980320551836</v>
      </c>
      <c r="J29" s="296">
        <f t="shared" si="2"/>
        <v>1.7418066544938122</v>
      </c>
      <c r="K29" s="296">
        <v>44.14</v>
      </c>
      <c r="L29" s="296">
        <v>29.43</v>
      </c>
      <c r="M29" s="296">
        <f t="shared" si="3"/>
        <v>73.57</v>
      </c>
      <c r="N29" s="296">
        <f t="shared" si="4"/>
        <v>44.58</v>
      </c>
      <c r="O29" s="296">
        <f t="shared" si="5"/>
        <v>29.72</v>
      </c>
      <c r="P29" s="296">
        <f t="shared" si="6"/>
        <v>74.3</v>
      </c>
      <c r="Q29" s="296">
        <f t="shared" si="7"/>
        <v>0.605008622438632</v>
      </c>
      <c r="R29" s="296">
        <f t="shared" si="8"/>
        <v>0.4067980320551854</v>
      </c>
      <c r="S29" s="296">
        <f t="shared" si="9"/>
        <v>1.0118066544938102</v>
      </c>
      <c r="T29" s="296" t="s">
        <v>659</v>
      </c>
      <c r="U29" s="8">
        <f t="shared" si="10"/>
        <v>743</v>
      </c>
      <c r="V29" s="8">
        <f t="shared" si="11"/>
        <v>743</v>
      </c>
      <c r="X29" s="347"/>
      <c r="Y29" s="347"/>
    </row>
    <row r="30" spans="1:25" ht="12.75">
      <c r="A30" s="201">
        <f t="shared" si="12"/>
        <v>18</v>
      </c>
      <c r="B30" s="201" t="s">
        <v>611</v>
      </c>
      <c r="C30" s="8">
        <v>698</v>
      </c>
      <c r="D30" s="8">
        <f t="shared" si="0"/>
        <v>698</v>
      </c>
      <c r="E30" s="296">
        <v>41.879999999999995</v>
      </c>
      <c r="F30" s="296">
        <v>27.92</v>
      </c>
      <c r="G30" s="296">
        <f t="shared" si="1"/>
        <v>69.8</v>
      </c>
      <c r="H30" s="296">
        <v>0.9817173868938933</v>
      </c>
      <c r="I30" s="296">
        <v>0.654596266991276</v>
      </c>
      <c r="J30" s="296">
        <f t="shared" si="2"/>
        <v>1.6363136538851695</v>
      </c>
      <c r="K30" s="296">
        <v>41.47</v>
      </c>
      <c r="L30" s="296">
        <v>27.65</v>
      </c>
      <c r="M30" s="296">
        <f t="shared" si="3"/>
        <v>69.12</v>
      </c>
      <c r="N30" s="296">
        <f t="shared" si="4"/>
        <v>41.88</v>
      </c>
      <c r="O30" s="296">
        <f t="shared" si="5"/>
        <v>27.92</v>
      </c>
      <c r="P30" s="296">
        <f t="shared" si="6"/>
        <v>69.80000000000001</v>
      </c>
      <c r="Q30" s="296">
        <f t="shared" si="7"/>
        <v>0.5717173868938872</v>
      </c>
      <c r="R30" s="296">
        <f t="shared" si="8"/>
        <v>0.3845962669912737</v>
      </c>
      <c r="S30" s="296">
        <f t="shared" si="9"/>
        <v>0.9563136538851609</v>
      </c>
      <c r="T30" s="296" t="s">
        <v>659</v>
      </c>
      <c r="U30" s="8">
        <f t="shared" si="10"/>
        <v>698</v>
      </c>
      <c r="V30" s="8">
        <f t="shared" si="11"/>
        <v>698</v>
      </c>
      <c r="X30" s="347"/>
      <c r="Y30" s="347"/>
    </row>
    <row r="31" spans="1:25" ht="12.75">
      <c r="A31" s="201">
        <f t="shared" si="12"/>
        <v>19</v>
      </c>
      <c r="B31" s="201" t="s">
        <v>637</v>
      </c>
      <c r="C31" s="8">
        <v>418</v>
      </c>
      <c r="D31" s="8">
        <f t="shared" si="0"/>
        <v>418</v>
      </c>
      <c r="E31" s="296">
        <v>25.08</v>
      </c>
      <c r="F31" s="296">
        <v>16.72</v>
      </c>
      <c r="G31" s="296">
        <f t="shared" si="1"/>
        <v>41.8</v>
      </c>
      <c r="H31" s="296">
        <v>0.5879052546155407</v>
      </c>
      <c r="I31" s="296">
        <v>0.39200750659362954</v>
      </c>
      <c r="J31" s="296">
        <f t="shared" si="2"/>
        <v>0.9799127612091703</v>
      </c>
      <c r="K31" s="296">
        <v>24.84</v>
      </c>
      <c r="L31" s="296">
        <v>16.56</v>
      </c>
      <c r="M31" s="296">
        <f t="shared" si="3"/>
        <v>41.4</v>
      </c>
      <c r="N31" s="296">
        <f t="shared" si="4"/>
        <v>25.08</v>
      </c>
      <c r="O31" s="296">
        <f t="shared" si="5"/>
        <v>16.72</v>
      </c>
      <c r="P31" s="296">
        <f t="shared" si="6"/>
        <v>41.8</v>
      </c>
      <c r="Q31" s="296">
        <f t="shared" si="7"/>
        <v>0.34790525461554367</v>
      </c>
      <c r="R31" s="296">
        <f t="shared" si="8"/>
        <v>0.23200750659362868</v>
      </c>
      <c r="S31" s="296">
        <f t="shared" si="9"/>
        <v>0.5799127612091723</v>
      </c>
      <c r="T31" s="296" t="s">
        <v>659</v>
      </c>
      <c r="U31" s="8">
        <f t="shared" si="10"/>
        <v>418</v>
      </c>
      <c r="V31" s="8">
        <f t="shared" si="11"/>
        <v>418</v>
      </c>
      <c r="X31" s="347"/>
      <c r="Y31" s="347"/>
    </row>
    <row r="32" spans="1:25" ht="12.75">
      <c r="A32" s="201">
        <f t="shared" si="12"/>
        <v>20</v>
      </c>
      <c r="B32" s="201" t="s">
        <v>612</v>
      </c>
      <c r="C32" s="8">
        <v>1027</v>
      </c>
      <c r="D32" s="8">
        <f t="shared" si="0"/>
        <v>1027</v>
      </c>
      <c r="E32" s="296">
        <v>61.62</v>
      </c>
      <c r="F32" s="296">
        <v>41.080000000000005</v>
      </c>
      <c r="G32" s="296">
        <f t="shared" si="1"/>
        <v>102.7</v>
      </c>
      <c r="H32" s="296">
        <v>1.4444466423209577</v>
      </c>
      <c r="I32" s="296">
        <v>0.9631380604585108</v>
      </c>
      <c r="J32" s="296">
        <f t="shared" si="2"/>
        <v>2.4075847027794683</v>
      </c>
      <c r="K32" s="296">
        <v>61.02</v>
      </c>
      <c r="L32" s="296">
        <v>40.68</v>
      </c>
      <c r="M32" s="296">
        <f t="shared" si="3"/>
        <v>101.7</v>
      </c>
      <c r="N32" s="296">
        <f t="shared" si="4"/>
        <v>61.62</v>
      </c>
      <c r="O32" s="296">
        <f t="shared" si="5"/>
        <v>41.08</v>
      </c>
      <c r="P32" s="296">
        <f t="shared" si="6"/>
        <v>102.69999999999999</v>
      </c>
      <c r="Q32" s="296">
        <f t="shared" si="7"/>
        <v>0.8444466423209604</v>
      </c>
      <c r="R32" s="296">
        <f t="shared" si="8"/>
        <v>0.5631380604585132</v>
      </c>
      <c r="S32" s="296">
        <f t="shared" si="9"/>
        <v>1.4075847027794879</v>
      </c>
      <c r="T32" s="296" t="s">
        <v>659</v>
      </c>
      <c r="U32" s="8">
        <f t="shared" si="10"/>
        <v>1027</v>
      </c>
      <c r="V32" s="8">
        <f t="shared" si="11"/>
        <v>1027</v>
      </c>
      <c r="X32" s="347"/>
      <c r="Y32" s="347"/>
    </row>
    <row r="33" spans="1:25" ht="12.75">
      <c r="A33" s="201">
        <f t="shared" si="12"/>
        <v>21</v>
      </c>
      <c r="B33" s="201" t="s">
        <v>613</v>
      </c>
      <c r="C33" s="8">
        <v>550</v>
      </c>
      <c r="D33" s="8">
        <f t="shared" si="0"/>
        <v>550</v>
      </c>
      <c r="E33" s="296">
        <v>33</v>
      </c>
      <c r="F33" s="296">
        <v>22</v>
      </c>
      <c r="G33" s="296">
        <f t="shared" si="1"/>
        <v>55</v>
      </c>
      <c r="H33" s="296">
        <v>0.7735595455467641</v>
      </c>
      <c r="I33" s="296">
        <v>0.5157993507810915</v>
      </c>
      <c r="J33" s="296">
        <f t="shared" si="2"/>
        <v>1.2893588963278555</v>
      </c>
      <c r="K33" s="296">
        <v>32.68</v>
      </c>
      <c r="L33" s="296">
        <v>21.79</v>
      </c>
      <c r="M33" s="296">
        <f t="shared" si="3"/>
        <v>54.47</v>
      </c>
      <c r="N33" s="296">
        <f t="shared" si="4"/>
        <v>33</v>
      </c>
      <c r="O33" s="296">
        <f t="shared" si="5"/>
        <v>22</v>
      </c>
      <c r="P33" s="296">
        <f t="shared" si="6"/>
        <v>55</v>
      </c>
      <c r="Q33" s="296">
        <f t="shared" si="7"/>
        <v>0.45355954554676714</v>
      </c>
      <c r="R33" s="296">
        <f t="shared" si="8"/>
        <v>0.3057993507810899</v>
      </c>
      <c r="S33" s="296">
        <f t="shared" si="9"/>
        <v>0.7593588963278535</v>
      </c>
      <c r="T33" s="296" t="s">
        <v>659</v>
      </c>
      <c r="U33" s="8">
        <f t="shared" si="10"/>
        <v>550</v>
      </c>
      <c r="V33" s="8">
        <f t="shared" si="11"/>
        <v>550</v>
      </c>
      <c r="X33" s="347"/>
      <c r="Y33" s="347"/>
    </row>
    <row r="34" spans="1:25" ht="12.75">
      <c r="A34" s="201">
        <f t="shared" si="12"/>
        <v>22</v>
      </c>
      <c r="B34" s="201" t="s">
        <v>614</v>
      </c>
      <c r="C34" s="8">
        <v>425</v>
      </c>
      <c r="D34" s="8">
        <f t="shared" si="0"/>
        <v>425</v>
      </c>
      <c r="E34" s="296">
        <v>25.499999999999996</v>
      </c>
      <c r="F34" s="296">
        <v>16.999999999999996</v>
      </c>
      <c r="G34" s="296">
        <f t="shared" si="1"/>
        <v>42.49999999999999</v>
      </c>
      <c r="H34" s="296">
        <v>0.5977505579224995</v>
      </c>
      <c r="I34" s="296">
        <v>0.39857222560357064</v>
      </c>
      <c r="J34" s="296">
        <f t="shared" si="2"/>
        <v>0.9963227835260702</v>
      </c>
      <c r="K34" s="296">
        <v>25.25</v>
      </c>
      <c r="L34" s="296">
        <v>16.83</v>
      </c>
      <c r="M34" s="296">
        <f t="shared" si="3"/>
        <v>42.08</v>
      </c>
      <c r="N34" s="296">
        <f t="shared" si="4"/>
        <v>25.5</v>
      </c>
      <c r="O34" s="296">
        <f t="shared" si="5"/>
        <v>17</v>
      </c>
      <c r="P34" s="296">
        <f t="shared" si="6"/>
        <v>42.5</v>
      </c>
      <c r="Q34" s="296">
        <f t="shared" si="7"/>
        <v>0.34775055792249887</v>
      </c>
      <c r="R34" s="296">
        <f t="shared" si="8"/>
        <v>0.2285722256035676</v>
      </c>
      <c r="S34" s="296">
        <f t="shared" si="9"/>
        <v>0.5763227835260665</v>
      </c>
      <c r="T34" s="296" t="s">
        <v>659</v>
      </c>
      <c r="U34" s="8">
        <f t="shared" si="10"/>
        <v>425</v>
      </c>
      <c r="V34" s="8">
        <f t="shared" si="11"/>
        <v>425</v>
      </c>
      <c r="X34" s="347"/>
      <c r="Y34" s="347"/>
    </row>
    <row r="35" spans="1:25" ht="12.75">
      <c r="A35" s="201">
        <f t="shared" si="12"/>
        <v>23</v>
      </c>
      <c r="B35" s="201" t="s">
        <v>615</v>
      </c>
      <c r="C35" s="8">
        <v>808</v>
      </c>
      <c r="D35" s="8">
        <f t="shared" si="0"/>
        <v>808</v>
      </c>
      <c r="E35" s="296">
        <v>48.48</v>
      </c>
      <c r="F35" s="296">
        <v>32.32</v>
      </c>
      <c r="G35" s="296">
        <f t="shared" si="1"/>
        <v>80.8</v>
      </c>
      <c r="H35" s="296">
        <v>1.136429296003246</v>
      </c>
      <c r="I35" s="296">
        <v>0.7577561371474943</v>
      </c>
      <c r="J35" s="296">
        <f t="shared" si="2"/>
        <v>1.8941854331507404</v>
      </c>
      <c r="K35" s="296">
        <v>48.01</v>
      </c>
      <c r="L35" s="296">
        <v>32</v>
      </c>
      <c r="M35" s="296">
        <f t="shared" si="3"/>
        <v>80.00999999999999</v>
      </c>
      <c r="N35" s="296">
        <f t="shared" si="4"/>
        <v>48.48</v>
      </c>
      <c r="O35" s="296">
        <f t="shared" si="5"/>
        <v>32.32</v>
      </c>
      <c r="P35" s="296">
        <f t="shared" si="6"/>
        <v>80.8</v>
      </c>
      <c r="Q35" s="296">
        <f t="shared" si="7"/>
        <v>0.6664292960032441</v>
      </c>
      <c r="R35" s="296">
        <f t="shared" si="8"/>
        <v>0.4377561371474954</v>
      </c>
      <c r="S35" s="296">
        <f t="shared" si="9"/>
        <v>1.1041854331507324</v>
      </c>
      <c r="T35" s="296" t="s">
        <v>659</v>
      </c>
      <c r="U35" s="8">
        <f t="shared" si="10"/>
        <v>808</v>
      </c>
      <c r="V35" s="8">
        <f t="shared" si="11"/>
        <v>808</v>
      </c>
      <c r="X35" s="347"/>
      <c r="Y35" s="347"/>
    </row>
    <row r="36" spans="1:25" ht="12.75">
      <c r="A36" s="201">
        <f t="shared" si="12"/>
        <v>24</v>
      </c>
      <c r="B36" s="201" t="s">
        <v>616</v>
      </c>
      <c r="C36" s="8">
        <v>826</v>
      </c>
      <c r="D36" s="8">
        <f t="shared" si="0"/>
        <v>826</v>
      </c>
      <c r="E36" s="296">
        <v>49.559999999999995</v>
      </c>
      <c r="F36" s="296">
        <v>33.04</v>
      </c>
      <c r="G36" s="296">
        <f t="shared" si="1"/>
        <v>82.6</v>
      </c>
      <c r="H36" s="296">
        <v>1.16174579022114</v>
      </c>
      <c r="I36" s="296">
        <v>0.7746368431730574</v>
      </c>
      <c r="J36" s="296">
        <f t="shared" si="2"/>
        <v>1.9363826333941976</v>
      </c>
      <c r="K36" s="296">
        <v>49.08</v>
      </c>
      <c r="L36" s="296">
        <v>32.72</v>
      </c>
      <c r="M36" s="296">
        <f t="shared" si="3"/>
        <v>81.8</v>
      </c>
      <c r="N36" s="296">
        <f t="shared" si="4"/>
        <v>49.56</v>
      </c>
      <c r="O36" s="296">
        <f t="shared" si="5"/>
        <v>33.04</v>
      </c>
      <c r="P36" s="296">
        <f t="shared" si="6"/>
        <v>82.6</v>
      </c>
      <c r="Q36" s="296">
        <f t="shared" si="7"/>
        <v>0.6817457902211359</v>
      </c>
      <c r="R36" s="296">
        <f t="shared" si="8"/>
        <v>0.45463684317305564</v>
      </c>
      <c r="S36" s="296">
        <f t="shared" si="9"/>
        <v>1.1363826333942058</v>
      </c>
      <c r="T36" s="296" t="s">
        <v>659</v>
      </c>
      <c r="U36" s="8">
        <f t="shared" si="10"/>
        <v>826</v>
      </c>
      <c r="V36" s="8">
        <f t="shared" si="11"/>
        <v>826</v>
      </c>
      <c r="X36" s="347"/>
      <c r="Y36" s="347"/>
    </row>
    <row r="37" spans="1:25" ht="12.75">
      <c r="A37" s="201">
        <f t="shared" si="12"/>
        <v>25</v>
      </c>
      <c r="B37" s="201" t="s">
        <v>617</v>
      </c>
      <c r="C37" s="8">
        <v>819</v>
      </c>
      <c r="D37" s="8">
        <f t="shared" si="0"/>
        <v>819</v>
      </c>
      <c r="E37" s="296">
        <v>49.13999999999999</v>
      </c>
      <c r="F37" s="296">
        <v>32.76</v>
      </c>
      <c r="G37" s="296">
        <f t="shared" si="1"/>
        <v>81.89999999999999</v>
      </c>
      <c r="H37" s="296">
        <v>1.1519004869141813</v>
      </c>
      <c r="I37" s="296">
        <v>0.7680721241631162</v>
      </c>
      <c r="J37" s="296">
        <f t="shared" si="2"/>
        <v>1.9199726110772977</v>
      </c>
      <c r="K37" s="296">
        <v>48.66</v>
      </c>
      <c r="L37" s="296">
        <v>32.44</v>
      </c>
      <c r="M37" s="296">
        <f t="shared" si="3"/>
        <v>81.1</v>
      </c>
      <c r="N37" s="296">
        <f t="shared" si="4"/>
        <v>49.14</v>
      </c>
      <c r="O37" s="296">
        <f t="shared" si="5"/>
        <v>32.76</v>
      </c>
      <c r="P37" s="296">
        <f t="shared" si="6"/>
        <v>81.9</v>
      </c>
      <c r="Q37" s="296">
        <f t="shared" si="7"/>
        <v>0.6719004869141756</v>
      </c>
      <c r="R37" s="296">
        <f t="shared" si="8"/>
        <v>0.4480721241631187</v>
      </c>
      <c r="S37" s="296">
        <f t="shared" si="9"/>
        <v>1.1199726110772872</v>
      </c>
      <c r="T37" s="296" t="s">
        <v>659</v>
      </c>
      <c r="U37" s="8">
        <f t="shared" si="10"/>
        <v>819</v>
      </c>
      <c r="V37" s="8">
        <f t="shared" si="11"/>
        <v>819</v>
      </c>
      <c r="X37" s="347"/>
      <c r="Y37" s="347"/>
    </row>
    <row r="38" spans="1:25" ht="12.75">
      <c r="A38" s="201">
        <f t="shared" si="12"/>
        <v>26</v>
      </c>
      <c r="B38" s="201" t="s">
        <v>618</v>
      </c>
      <c r="C38" s="8">
        <v>462</v>
      </c>
      <c r="D38" s="8">
        <f t="shared" si="0"/>
        <v>462</v>
      </c>
      <c r="E38" s="296">
        <v>27.719999999999995</v>
      </c>
      <c r="F38" s="296">
        <v>18.48</v>
      </c>
      <c r="G38" s="296">
        <f t="shared" si="1"/>
        <v>46.199999999999996</v>
      </c>
      <c r="H38" s="296">
        <v>0.6497900182592818</v>
      </c>
      <c r="I38" s="296">
        <v>0.43327145465611683</v>
      </c>
      <c r="J38" s="296">
        <f t="shared" si="2"/>
        <v>1.0830614729153987</v>
      </c>
      <c r="K38" s="296">
        <v>27.45</v>
      </c>
      <c r="L38" s="296">
        <v>18.3</v>
      </c>
      <c r="M38" s="296">
        <f t="shared" si="3"/>
        <v>45.75</v>
      </c>
      <c r="N38" s="296">
        <f t="shared" si="4"/>
        <v>27.72</v>
      </c>
      <c r="O38" s="296">
        <f t="shared" si="5"/>
        <v>18.48</v>
      </c>
      <c r="P38" s="296">
        <f t="shared" si="6"/>
        <v>46.2</v>
      </c>
      <c r="Q38" s="296">
        <f t="shared" si="7"/>
        <v>0.37979001825928194</v>
      </c>
      <c r="R38" s="296">
        <f t="shared" si="8"/>
        <v>0.2532714546561188</v>
      </c>
      <c r="S38" s="296">
        <f t="shared" si="9"/>
        <v>0.6330614729153936</v>
      </c>
      <c r="T38" s="296" t="s">
        <v>659</v>
      </c>
      <c r="U38" s="8">
        <f t="shared" si="10"/>
        <v>462</v>
      </c>
      <c r="V38" s="8">
        <f t="shared" si="11"/>
        <v>462</v>
      </c>
      <c r="X38" s="347"/>
      <c r="Y38" s="347"/>
    </row>
    <row r="39" spans="1:25" ht="12.75">
      <c r="A39" s="201">
        <f t="shared" si="12"/>
        <v>27</v>
      </c>
      <c r="B39" s="201" t="s">
        <v>619</v>
      </c>
      <c r="C39" s="8">
        <v>779</v>
      </c>
      <c r="D39" s="8">
        <f t="shared" si="0"/>
        <v>779</v>
      </c>
      <c r="E39" s="296">
        <v>46.739999999999995</v>
      </c>
      <c r="F39" s="296">
        <v>31.159999999999997</v>
      </c>
      <c r="G39" s="296">
        <f t="shared" si="1"/>
        <v>77.89999999999999</v>
      </c>
      <c r="H39" s="296">
        <v>1.095641610874417</v>
      </c>
      <c r="I39" s="296">
        <v>0.7305594441063096</v>
      </c>
      <c r="J39" s="296">
        <f t="shared" si="2"/>
        <v>1.8262010549807264</v>
      </c>
      <c r="K39" s="296">
        <v>46.28</v>
      </c>
      <c r="L39" s="296">
        <v>30.86</v>
      </c>
      <c r="M39" s="296">
        <f t="shared" si="3"/>
        <v>77.14</v>
      </c>
      <c r="N39" s="296">
        <f t="shared" si="4"/>
        <v>46.74</v>
      </c>
      <c r="O39" s="296">
        <f t="shared" si="5"/>
        <v>31.16</v>
      </c>
      <c r="P39" s="296">
        <f t="shared" si="6"/>
        <v>77.9</v>
      </c>
      <c r="Q39" s="296">
        <f t="shared" si="7"/>
        <v>0.6356416108744156</v>
      </c>
      <c r="R39" s="296">
        <f t="shared" si="8"/>
        <v>0.43055944410630786</v>
      </c>
      <c r="S39" s="296">
        <f t="shared" si="9"/>
        <v>1.0662010549807235</v>
      </c>
      <c r="T39" s="296" t="s">
        <v>659</v>
      </c>
      <c r="U39" s="8">
        <f t="shared" si="10"/>
        <v>779</v>
      </c>
      <c r="V39" s="8">
        <f t="shared" si="11"/>
        <v>779</v>
      </c>
      <c r="X39" s="347"/>
      <c r="Y39" s="347"/>
    </row>
    <row r="40" spans="1:25" ht="12.75">
      <c r="A40" s="201">
        <f t="shared" si="12"/>
        <v>28</v>
      </c>
      <c r="B40" s="143" t="s">
        <v>620</v>
      </c>
      <c r="C40" s="8">
        <v>529</v>
      </c>
      <c r="D40" s="8">
        <f t="shared" si="0"/>
        <v>529</v>
      </c>
      <c r="E40" s="296">
        <v>31.739999999999995</v>
      </c>
      <c r="F40" s="296">
        <v>21.159999999999997</v>
      </c>
      <c r="G40" s="296">
        <f t="shared" si="1"/>
        <v>52.89999999999999</v>
      </c>
      <c r="H40" s="296">
        <v>0.7440236356258876</v>
      </c>
      <c r="I40" s="296">
        <v>0.49610519375126794</v>
      </c>
      <c r="J40" s="296">
        <f t="shared" si="2"/>
        <v>1.2401288293771555</v>
      </c>
      <c r="K40" s="296">
        <v>31.43</v>
      </c>
      <c r="L40" s="296">
        <v>20.95</v>
      </c>
      <c r="M40" s="296">
        <f t="shared" si="3"/>
        <v>52.379999999999995</v>
      </c>
      <c r="N40" s="296">
        <f t="shared" si="4"/>
        <v>31.74</v>
      </c>
      <c r="O40" s="296">
        <f t="shared" si="5"/>
        <v>21.16</v>
      </c>
      <c r="P40" s="296">
        <f t="shared" si="6"/>
        <v>52.9</v>
      </c>
      <c r="Q40" s="296">
        <f t="shared" si="7"/>
        <v>0.43402363562588775</v>
      </c>
      <c r="R40" s="296">
        <f t="shared" si="8"/>
        <v>0.2861051937512684</v>
      </c>
      <c r="S40" s="296">
        <f t="shared" si="9"/>
        <v>0.7201288293771526</v>
      </c>
      <c r="T40" s="296" t="s">
        <v>659</v>
      </c>
      <c r="U40" s="8">
        <f t="shared" si="10"/>
        <v>529</v>
      </c>
      <c r="V40" s="8">
        <f t="shared" si="11"/>
        <v>529</v>
      </c>
      <c r="X40" s="347"/>
      <c r="Y40" s="347"/>
    </row>
    <row r="41" spans="1:25" ht="12.75">
      <c r="A41" s="201">
        <f t="shared" si="12"/>
        <v>29</v>
      </c>
      <c r="B41" s="143" t="s">
        <v>621</v>
      </c>
      <c r="C41" s="8">
        <v>578</v>
      </c>
      <c r="D41" s="8">
        <f t="shared" si="0"/>
        <v>578</v>
      </c>
      <c r="E41" s="296">
        <v>34.68</v>
      </c>
      <c r="F41" s="296">
        <v>23.12</v>
      </c>
      <c r="G41" s="296">
        <f t="shared" si="1"/>
        <v>57.8</v>
      </c>
      <c r="H41" s="296">
        <v>0.8129407587745994</v>
      </c>
      <c r="I41" s="296">
        <v>0.5420582268208561</v>
      </c>
      <c r="J41" s="296">
        <f t="shared" si="2"/>
        <v>1.3549989855954556</v>
      </c>
      <c r="K41" s="296">
        <v>34.34</v>
      </c>
      <c r="L41" s="296">
        <v>22.89</v>
      </c>
      <c r="M41" s="296">
        <f t="shared" si="3"/>
        <v>57.230000000000004</v>
      </c>
      <c r="N41" s="296">
        <f t="shared" si="4"/>
        <v>34.68</v>
      </c>
      <c r="O41" s="296">
        <f t="shared" si="5"/>
        <v>23.12</v>
      </c>
      <c r="P41" s="296">
        <f t="shared" si="6"/>
        <v>57.8</v>
      </c>
      <c r="Q41" s="296">
        <f t="shared" si="7"/>
        <v>0.4729407587746053</v>
      </c>
      <c r="R41" s="296">
        <f t="shared" si="8"/>
        <v>0.3120582268208558</v>
      </c>
      <c r="S41" s="296">
        <f t="shared" si="9"/>
        <v>0.7849989855954647</v>
      </c>
      <c r="T41" s="296" t="s">
        <v>659</v>
      </c>
      <c r="U41" s="8">
        <f t="shared" si="10"/>
        <v>578</v>
      </c>
      <c r="V41" s="8">
        <f t="shared" si="11"/>
        <v>578</v>
      </c>
      <c r="X41" s="347"/>
      <c r="Y41" s="347"/>
    </row>
    <row r="42" spans="1:25" ht="12.75">
      <c r="A42" s="201">
        <f t="shared" si="12"/>
        <v>30</v>
      </c>
      <c r="B42" s="143" t="s">
        <v>622</v>
      </c>
      <c r="C42" s="8">
        <v>525</v>
      </c>
      <c r="D42" s="8">
        <f t="shared" si="0"/>
        <v>525</v>
      </c>
      <c r="E42" s="296">
        <v>31.499999999999993</v>
      </c>
      <c r="F42" s="296">
        <v>21</v>
      </c>
      <c r="G42" s="296">
        <f t="shared" si="1"/>
        <v>52.49999999999999</v>
      </c>
      <c r="H42" s="296">
        <v>0.7383977480219112</v>
      </c>
      <c r="I42" s="296">
        <v>0.49235392574558734</v>
      </c>
      <c r="J42" s="296">
        <f t="shared" si="2"/>
        <v>1.2307516737674984</v>
      </c>
      <c r="K42" s="296">
        <v>31.19</v>
      </c>
      <c r="L42" s="296">
        <v>20.79</v>
      </c>
      <c r="M42" s="296">
        <f t="shared" si="3"/>
        <v>51.980000000000004</v>
      </c>
      <c r="N42" s="296">
        <f t="shared" si="4"/>
        <v>31.5</v>
      </c>
      <c r="O42" s="296">
        <f t="shared" si="5"/>
        <v>21</v>
      </c>
      <c r="P42" s="296">
        <f t="shared" si="6"/>
        <v>52.5</v>
      </c>
      <c r="Q42" s="296">
        <f t="shared" si="7"/>
        <v>0.42839774802191144</v>
      </c>
      <c r="R42" s="296">
        <f t="shared" si="8"/>
        <v>0.2823539257455856</v>
      </c>
      <c r="S42" s="296">
        <f t="shared" si="9"/>
        <v>0.7107516737675041</v>
      </c>
      <c r="T42" s="296" t="s">
        <v>659</v>
      </c>
      <c r="U42" s="8">
        <f t="shared" si="10"/>
        <v>525</v>
      </c>
      <c r="V42" s="8">
        <f t="shared" si="11"/>
        <v>525</v>
      </c>
      <c r="X42" s="347"/>
      <c r="Y42" s="347"/>
    </row>
    <row r="43" spans="1:25" ht="12.75">
      <c r="A43" s="201">
        <f t="shared" si="12"/>
        <v>31</v>
      </c>
      <c r="B43" s="143" t="s">
        <v>623</v>
      </c>
      <c r="C43" s="8">
        <v>379</v>
      </c>
      <c r="D43" s="8">
        <f t="shared" si="0"/>
        <v>379</v>
      </c>
      <c r="E43" s="296">
        <v>22.74</v>
      </c>
      <c r="F43" s="296">
        <v>15.16</v>
      </c>
      <c r="G43" s="296">
        <f t="shared" si="1"/>
        <v>37.9</v>
      </c>
      <c r="H43" s="296">
        <v>0.5330528504767701</v>
      </c>
      <c r="I43" s="296">
        <v>0.355432643538243</v>
      </c>
      <c r="J43" s="296">
        <f t="shared" si="2"/>
        <v>0.8884854940150131</v>
      </c>
      <c r="K43" s="296">
        <v>22.54</v>
      </c>
      <c r="L43" s="296">
        <v>15.01</v>
      </c>
      <c r="M43" s="296">
        <f t="shared" si="3"/>
        <v>37.55</v>
      </c>
      <c r="N43" s="296">
        <f t="shared" si="4"/>
        <v>22.74</v>
      </c>
      <c r="O43" s="296">
        <f t="shared" si="5"/>
        <v>15.16</v>
      </c>
      <c r="P43" s="296">
        <f t="shared" si="6"/>
        <v>37.9</v>
      </c>
      <c r="Q43" s="296">
        <f t="shared" si="7"/>
        <v>0.333052850476772</v>
      </c>
      <c r="R43" s="296">
        <f t="shared" si="8"/>
        <v>0.2054326435382432</v>
      </c>
      <c r="S43" s="296">
        <f t="shared" si="9"/>
        <v>0.5384854940150134</v>
      </c>
      <c r="T43" s="296" t="s">
        <v>659</v>
      </c>
      <c r="U43" s="8">
        <f t="shared" si="10"/>
        <v>379</v>
      </c>
      <c r="V43" s="8">
        <f t="shared" si="11"/>
        <v>379</v>
      </c>
      <c r="X43" s="347"/>
      <c r="Y43" s="347"/>
    </row>
    <row r="44" spans="1:22" ht="12.75">
      <c r="A44" s="150"/>
      <c r="B44" s="150" t="s">
        <v>624</v>
      </c>
      <c r="C44" s="17">
        <f>SUM(C13:C43)</f>
        <v>19716</v>
      </c>
      <c r="D44" s="17">
        <f aca="true" t="shared" si="13" ref="D44:V44">SUM(D13:D43)</f>
        <v>19716</v>
      </c>
      <c r="E44" s="297">
        <f t="shared" si="13"/>
        <v>1182.9600000000003</v>
      </c>
      <c r="F44" s="297">
        <f t="shared" si="13"/>
        <v>788.64</v>
      </c>
      <c r="G44" s="297">
        <f t="shared" si="13"/>
        <v>1971.6000000000001</v>
      </c>
      <c r="H44" s="297">
        <f t="shared" si="13"/>
        <v>27.73</v>
      </c>
      <c r="I44" s="297">
        <f t="shared" si="13"/>
        <v>18.49</v>
      </c>
      <c r="J44" s="297">
        <f t="shared" si="13"/>
        <v>46.22</v>
      </c>
      <c r="K44" s="297">
        <f t="shared" si="13"/>
        <v>1171.41</v>
      </c>
      <c r="L44" s="297">
        <f t="shared" si="13"/>
        <v>780.9200000000001</v>
      </c>
      <c r="M44" s="297">
        <f t="shared" si="13"/>
        <v>1952.3299999999997</v>
      </c>
      <c r="N44" s="297">
        <f t="shared" si="13"/>
        <v>1182.9600000000003</v>
      </c>
      <c r="O44" s="297">
        <f t="shared" si="13"/>
        <v>788.6399999999999</v>
      </c>
      <c r="P44" s="297">
        <f t="shared" si="13"/>
        <v>1971.6000000000001</v>
      </c>
      <c r="Q44" s="297">
        <f t="shared" si="13"/>
        <v>16.18</v>
      </c>
      <c r="R44" s="297">
        <f t="shared" si="13"/>
        <v>10.770000000000001</v>
      </c>
      <c r="S44" s="297">
        <f t="shared" si="13"/>
        <v>26.95</v>
      </c>
      <c r="T44" s="297"/>
      <c r="U44" s="17">
        <f t="shared" si="13"/>
        <v>19716</v>
      </c>
      <c r="V44" s="17">
        <f t="shared" si="13"/>
        <v>19716</v>
      </c>
    </row>
    <row r="45" spans="8:11" ht="12.75">
      <c r="H45" s="347"/>
      <c r="I45" s="347"/>
      <c r="K45" s="347"/>
    </row>
    <row r="46" s="323" customFormat="1" ht="12.75"/>
    <row r="47" s="323" customFormat="1" ht="12.75">
      <c r="L47" s="477"/>
    </row>
    <row r="48" spans="11:22" ht="15.75">
      <c r="K48" s="358"/>
      <c r="L48" s="358"/>
      <c r="R48" s="621" t="s">
        <v>860</v>
      </c>
      <c r="S48" s="621"/>
      <c r="T48" s="621"/>
      <c r="U48" s="621"/>
      <c r="V48" s="621"/>
    </row>
    <row r="49" spans="18:22" ht="15.75">
      <c r="R49" s="621" t="s">
        <v>653</v>
      </c>
      <c r="S49" s="621"/>
      <c r="T49" s="621"/>
      <c r="U49" s="621"/>
      <c r="V49" s="621"/>
    </row>
  </sheetData>
  <sheetProtection/>
  <mergeCells count="19">
    <mergeCell ref="A3:V3"/>
    <mergeCell ref="A4:V4"/>
    <mergeCell ref="A7:V7"/>
    <mergeCell ref="Q10:S10"/>
    <mergeCell ref="U10:U11"/>
    <mergeCell ref="T10:T11"/>
    <mergeCell ref="V10:V11"/>
    <mergeCell ref="R48:V48"/>
    <mergeCell ref="R49:V49"/>
    <mergeCell ref="T1:V1"/>
    <mergeCell ref="A5:Q5"/>
    <mergeCell ref="A10:A11"/>
    <mergeCell ref="B10:B11"/>
    <mergeCell ref="C10:C11"/>
    <mergeCell ref="D10:D11"/>
    <mergeCell ref="E10:G10"/>
    <mergeCell ref="H10:J10"/>
    <mergeCell ref="K10:M10"/>
    <mergeCell ref="N10:P10"/>
  </mergeCells>
  <printOptions horizontalCentered="1"/>
  <pageMargins left="0.31" right="0.29" top="0.43" bottom="0" header="0.31496062992125984" footer="0.31496062992125984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view="pageBreakPreview" zoomScale="55" zoomScaleNormal="70" zoomScaleSheetLayoutView="55" zoomScalePageLayoutView="0" workbookViewId="0" topLeftCell="A2">
      <selection activeCell="P23" sqref="P23"/>
    </sheetView>
  </sheetViews>
  <sheetFormatPr defaultColWidth="9.140625" defaultRowHeight="12.75"/>
  <cols>
    <col min="1" max="1" width="9.140625" style="6" customWidth="1"/>
    <col min="2" max="2" width="19.28125" style="6" bestFit="1" customWidth="1"/>
    <col min="3" max="3" width="16.57421875" style="6" customWidth="1"/>
    <col min="4" max="4" width="15.8515625" style="6" customWidth="1"/>
    <col min="5" max="5" width="18.8515625" style="6" customWidth="1"/>
    <col min="6" max="6" width="19.00390625" style="6" customWidth="1"/>
    <col min="7" max="7" width="22.57421875" style="6" customWidth="1"/>
    <col min="8" max="8" width="16.7109375" style="6" customWidth="1"/>
    <col min="9" max="9" width="26.7109375" style="6" customWidth="1"/>
    <col min="10" max="16384" width="9.140625" style="6" customWidth="1"/>
  </cols>
  <sheetData>
    <row r="1" spans="9:10" ht="15">
      <c r="I1" s="176" t="s">
        <v>62</v>
      </c>
      <c r="J1" s="25"/>
    </row>
    <row r="2" spans="1:10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27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26"/>
    </row>
    <row r="4" ht="10.5" customHeight="1"/>
    <row r="5" spans="1:9" ht="30.75" customHeight="1">
      <c r="A5" s="715" t="s">
        <v>725</v>
      </c>
      <c r="B5" s="715"/>
      <c r="C5" s="715"/>
      <c r="D5" s="715"/>
      <c r="E5" s="715"/>
      <c r="F5" s="715"/>
      <c r="G5" s="715"/>
      <c r="H5" s="715"/>
      <c r="I5" s="715"/>
    </row>
    <row r="7" ht="0.75" customHeight="1"/>
    <row r="8" spans="1:9" ht="12.75">
      <c r="A8" s="5" t="s">
        <v>669</v>
      </c>
      <c r="I8" s="19" t="s">
        <v>19</v>
      </c>
    </row>
    <row r="9" spans="4:22" ht="12.75">
      <c r="D9" s="640" t="s">
        <v>790</v>
      </c>
      <c r="E9" s="640"/>
      <c r="F9" s="640"/>
      <c r="G9" s="640"/>
      <c r="H9" s="640"/>
      <c r="I9" s="640"/>
      <c r="U9" s="8"/>
      <c r="V9" s="10"/>
    </row>
    <row r="10" spans="1:9" ht="44.25" customHeight="1">
      <c r="A10" s="1" t="s">
        <v>2</v>
      </c>
      <c r="B10" s="1" t="s">
        <v>3</v>
      </c>
      <c r="C10" s="165" t="s">
        <v>724</v>
      </c>
      <c r="D10" s="165" t="s">
        <v>791</v>
      </c>
      <c r="E10" s="165" t="s">
        <v>109</v>
      </c>
      <c r="F10" s="1" t="s">
        <v>223</v>
      </c>
      <c r="G10" s="165" t="s">
        <v>428</v>
      </c>
      <c r="H10" s="165" t="s">
        <v>152</v>
      </c>
      <c r="I10" s="20" t="s">
        <v>792</v>
      </c>
    </row>
    <row r="11" spans="1:9" s="56" customFormat="1" ht="15.75" customHeight="1">
      <c r="A11" s="32">
        <v>1</v>
      </c>
      <c r="B11" s="31">
        <v>2</v>
      </c>
      <c r="C11" s="32">
        <v>3</v>
      </c>
      <c r="D11" s="31">
        <v>4</v>
      </c>
      <c r="E11" s="32">
        <v>5</v>
      </c>
      <c r="F11" s="31">
        <v>6</v>
      </c>
      <c r="G11" s="32">
        <v>7</v>
      </c>
      <c r="H11" s="31">
        <v>8</v>
      </c>
      <c r="I11" s="32">
        <v>9</v>
      </c>
    </row>
    <row r="12" spans="1:18" s="56" customFormat="1" ht="15.75" customHeight="1">
      <c r="A12" s="201">
        <v>1</v>
      </c>
      <c r="B12" s="201" t="s">
        <v>633</v>
      </c>
      <c r="C12" s="305">
        <v>10.923128964084025</v>
      </c>
      <c r="D12" s="264">
        <v>0.0327783718459823</v>
      </c>
      <c r="E12" s="305">
        <v>9.540158360771063</v>
      </c>
      <c r="F12" s="295">
        <v>0</v>
      </c>
      <c r="G12" s="305">
        <v>750</v>
      </c>
      <c r="H12" s="295">
        <v>9.224183556228905</v>
      </c>
      <c r="I12" s="305">
        <f>D12+E12+F12-H12</f>
        <v>0.34875317638813996</v>
      </c>
      <c r="K12" s="10"/>
      <c r="L12" s="383"/>
      <c r="M12" s="383"/>
      <c r="N12" s="383"/>
      <c r="O12" s="383"/>
      <c r="P12" s="383"/>
      <c r="Q12" s="383"/>
      <c r="R12" s="383"/>
    </row>
    <row r="13" spans="1:18" s="56" customFormat="1" ht="12.75">
      <c r="A13" s="201">
        <f>A12+1</f>
        <v>2</v>
      </c>
      <c r="B13" s="201" t="s">
        <v>598</v>
      </c>
      <c r="C13" s="305">
        <v>11.75894446509492</v>
      </c>
      <c r="D13" s="264">
        <v>0.02758204453808604</v>
      </c>
      <c r="E13" s="305">
        <v>10.270151778064731</v>
      </c>
      <c r="F13" s="295">
        <v>0</v>
      </c>
      <c r="G13" s="305">
        <v>750</v>
      </c>
      <c r="H13" s="295">
        <v>9.996201919826847</v>
      </c>
      <c r="I13" s="305">
        <f aca="true" t="shared" si="0" ref="I13:I42">D13+E13+F13-H13</f>
        <v>0.3015319027759702</v>
      </c>
      <c r="K13" s="10"/>
      <c r="L13" s="383"/>
      <c r="M13" s="383"/>
      <c r="N13" s="383"/>
      <c r="O13" s="383"/>
      <c r="P13" s="383"/>
      <c r="Q13" s="383"/>
      <c r="R13" s="383"/>
    </row>
    <row r="14" spans="1:18" s="56" customFormat="1" ht="12.75">
      <c r="A14" s="201">
        <f aca="true" t="shared" si="1" ref="A14:A42">A13+1</f>
        <v>3</v>
      </c>
      <c r="B14" s="201" t="s">
        <v>634</v>
      </c>
      <c r="C14" s="305">
        <v>23.27819121792986</v>
      </c>
      <c r="D14" s="264">
        <v>0.013786477206865516</v>
      </c>
      <c r="E14" s="305">
        <v>20.33095382299038</v>
      </c>
      <c r="F14" s="295">
        <v>0</v>
      </c>
      <c r="G14" s="305">
        <v>750</v>
      </c>
      <c r="H14" s="295">
        <v>20.074619232459337</v>
      </c>
      <c r="I14" s="305">
        <f t="shared" si="0"/>
        <v>0.27012106773790734</v>
      </c>
      <c r="K14" s="10"/>
      <c r="L14" s="383"/>
      <c r="M14" s="383"/>
      <c r="N14" s="383"/>
      <c r="O14" s="383"/>
      <c r="P14" s="383"/>
      <c r="Q14" s="383"/>
      <c r="R14" s="383"/>
    </row>
    <row r="15" spans="1:18" s="56" customFormat="1" ht="12.75">
      <c r="A15" s="201">
        <f t="shared" si="1"/>
        <v>4</v>
      </c>
      <c r="B15" s="201" t="s">
        <v>599</v>
      </c>
      <c r="C15" s="305">
        <v>9.138110522523602</v>
      </c>
      <c r="D15" s="264">
        <v>0.14251935615142455</v>
      </c>
      <c r="E15" s="305">
        <v>7.981140000246631</v>
      </c>
      <c r="F15" s="295">
        <v>0</v>
      </c>
      <c r="G15" s="305">
        <v>750</v>
      </c>
      <c r="H15" s="295">
        <v>8.124860113922786</v>
      </c>
      <c r="I15" s="305">
        <f t="shared" si="0"/>
        <v>-0.001200757524729923</v>
      </c>
      <c r="K15" s="10"/>
      <c r="L15" s="383"/>
      <c r="M15" s="383"/>
      <c r="N15" s="383"/>
      <c r="O15" s="383"/>
      <c r="P15" s="383"/>
      <c r="Q15" s="383"/>
      <c r="R15" s="383"/>
    </row>
    <row r="16" spans="1:18" s="56" customFormat="1" ht="12.75">
      <c r="A16" s="201">
        <f t="shared" si="1"/>
        <v>5</v>
      </c>
      <c r="B16" s="201" t="s">
        <v>600</v>
      </c>
      <c r="C16" s="305">
        <v>5.743990916922253</v>
      </c>
      <c r="D16" s="264">
        <v>0.08301237208204365</v>
      </c>
      <c r="E16" s="305">
        <v>5.016747778997233</v>
      </c>
      <c r="F16" s="295">
        <v>0</v>
      </c>
      <c r="G16" s="305">
        <v>750</v>
      </c>
      <c r="H16" s="295">
        <v>5.10406733599647</v>
      </c>
      <c r="I16" s="305">
        <f t="shared" si="0"/>
        <v>-0.004307184917194284</v>
      </c>
      <c r="K16" s="10"/>
      <c r="L16" s="383"/>
      <c r="M16" s="383"/>
      <c r="N16" s="383"/>
      <c r="O16" s="383"/>
      <c r="P16" s="383"/>
      <c r="Q16" s="383"/>
      <c r="R16" s="383"/>
    </row>
    <row r="17" spans="1:18" s="56" customFormat="1" ht="12.75">
      <c r="A17" s="201">
        <f t="shared" si="1"/>
        <v>6</v>
      </c>
      <c r="B17" s="201" t="s">
        <v>601</v>
      </c>
      <c r="C17" s="305">
        <v>6.835136589688346</v>
      </c>
      <c r="D17" s="264">
        <v>0.039283500895800044</v>
      </c>
      <c r="E17" s="305">
        <v>5.969744172895575</v>
      </c>
      <c r="F17" s="295">
        <v>0</v>
      </c>
      <c r="G17" s="305">
        <v>750</v>
      </c>
      <c r="H17" s="295">
        <v>5.850899157661703</v>
      </c>
      <c r="I17" s="305">
        <f t="shared" si="0"/>
        <v>0.15812851612967105</v>
      </c>
      <c r="K17" s="10"/>
      <c r="L17" s="383"/>
      <c r="M17" s="383"/>
      <c r="N17" s="383"/>
      <c r="O17" s="383"/>
      <c r="P17" s="383"/>
      <c r="Q17" s="383"/>
      <c r="R17" s="383"/>
    </row>
    <row r="18" spans="1:18" s="56" customFormat="1" ht="12.75">
      <c r="A18" s="201">
        <f t="shared" si="1"/>
        <v>7</v>
      </c>
      <c r="B18" s="201" t="s">
        <v>602</v>
      </c>
      <c r="C18" s="305">
        <v>10.450403388948686</v>
      </c>
      <c r="D18" s="264">
        <v>0.06006148165503683</v>
      </c>
      <c r="E18" s="305">
        <v>9.127284278371551</v>
      </c>
      <c r="F18" s="295">
        <v>0</v>
      </c>
      <c r="G18" s="305">
        <v>750</v>
      </c>
      <c r="H18" s="295">
        <v>8.99492537418015</v>
      </c>
      <c r="I18" s="305">
        <f t="shared" si="0"/>
        <v>0.19242038584643772</v>
      </c>
      <c r="K18" s="10"/>
      <c r="L18" s="383"/>
      <c r="M18" s="383"/>
      <c r="N18" s="383"/>
      <c r="O18" s="383"/>
      <c r="P18" s="383"/>
      <c r="Q18" s="383"/>
      <c r="R18" s="383"/>
    </row>
    <row r="19" spans="1:18" s="56" customFormat="1" ht="12.75">
      <c r="A19" s="201">
        <f t="shared" si="1"/>
        <v>8</v>
      </c>
      <c r="B19" s="201" t="s">
        <v>603</v>
      </c>
      <c r="C19" s="305">
        <v>13.41202494851572</v>
      </c>
      <c r="D19" s="264">
        <v>0.07708277474284285</v>
      </c>
      <c r="E19" s="305">
        <v>11.713936763739564</v>
      </c>
      <c r="F19" s="295">
        <v>0</v>
      </c>
      <c r="G19" s="305">
        <v>750</v>
      </c>
      <c r="H19" s="295">
        <v>11.614530243038526</v>
      </c>
      <c r="I19" s="305">
        <f t="shared" si="0"/>
        <v>0.17648929544388103</v>
      </c>
      <c r="K19" s="10"/>
      <c r="L19" s="383"/>
      <c r="M19" s="383"/>
      <c r="N19" s="383"/>
      <c r="O19" s="383"/>
      <c r="P19" s="383"/>
      <c r="Q19" s="383"/>
      <c r="R19" s="383"/>
    </row>
    <row r="20" spans="1:18" s="56" customFormat="1" ht="12.75">
      <c r="A20" s="201">
        <f t="shared" si="1"/>
        <v>9</v>
      </c>
      <c r="B20" s="201" t="s">
        <v>604</v>
      </c>
      <c r="C20" s="305">
        <v>6.717163628697781</v>
      </c>
      <c r="D20" s="264">
        <v>0.14860547627142828</v>
      </c>
      <c r="E20" s="305">
        <v>5.866707695541905</v>
      </c>
      <c r="F20" s="295">
        <v>0</v>
      </c>
      <c r="G20" s="305">
        <v>750</v>
      </c>
      <c r="H20" s="295">
        <v>6.018338629002038</v>
      </c>
      <c r="I20" s="305">
        <f t="shared" si="0"/>
        <v>-0.0030254571887047277</v>
      </c>
      <c r="K20" s="10"/>
      <c r="L20" s="383"/>
      <c r="M20" s="383"/>
      <c r="N20" s="383"/>
      <c r="O20" s="383"/>
      <c r="P20" s="383"/>
      <c r="Q20" s="383"/>
      <c r="R20" s="383"/>
    </row>
    <row r="21" spans="1:18" s="56" customFormat="1" ht="12.75">
      <c r="A21" s="201">
        <f t="shared" si="1"/>
        <v>10</v>
      </c>
      <c r="B21" s="201" t="s">
        <v>605</v>
      </c>
      <c r="C21" s="305">
        <v>14.064002725862872</v>
      </c>
      <c r="D21" s="264">
        <v>0.020829879027356696</v>
      </c>
      <c r="E21" s="305">
        <v>12.283368037877867</v>
      </c>
      <c r="F21" s="295">
        <v>0</v>
      </c>
      <c r="G21" s="305">
        <v>750</v>
      </c>
      <c r="H21" s="295">
        <v>12.25011513278029</v>
      </c>
      <c r="I21" s="305">
        <f t="shared" si="0"/>
        <v>0.05408278412493317</v>
      </c>
      <c r="K21" s="10"/>
      <c r="L21" s="383"/>
      <c r="M21" s="383"/>
      <c r="N21" s="383"/>
      <c r="O21" s="383"/>
      <c r="P21" s="383"/>
      <c r="Q21" s="383"/>
      <c r="R21" s="383"/>
    </row>
    <row r="22" spans="1:18" s="56" customFormat="1" ht="12.75">
      <c r="A22" s="201">
        <f t="shared" si="1"/>
        <v>11</v>
      </c>
      <c r="B22" s="201" t="s">
        <v>635</v>
      </c>
      <c r="C22" s="305">
        <v>8.087192378858532</v>
      </c>
      <c r="D22" s="264">
        <v>0.04647942654703875</v>
      </c>
      <c r="E22" s="305">
        <v>7.063277952866414</v>
      </c>
      <c r="F22" s="295">
        <v>0</v>
      </c>
      <c r="G22" s="305">
        <v>750</v>
      </c>
      <c r="H22" s="295">
        <v>6.748938534150819</v>
      </c>
      <c r="I22" s="305">
        <f t="shared" si="0"/>
        <v>0.3608188452626342</v>
      </c>
      <c r="K22" s="10"/>
      <c r="L22" s="383"/>
      <c r="M22" s="383"/>
      <c r="N22" s="383"/>
      <c r="O22" s="383"/>
      <c r="P22" s="383"/>
      <c r="Q22" s="383"/>
      <c r="R22" s="383"/>
    </row>
    <row r="23" spans="1:18" s="56" customFormat="1" ht="12.75">
      <c r="A23" s="201">
        <f t="shared" si="1"/>
        <v>12</v>
      </c>
      <c r="B23" s="201" t="s">
        <v>606</v>
      </c>
      <c r="C23" s="305">
        <v>8.145970426560545</v>
      </c>
      <c r="D23" s="264">
        <v>0.04681724093586001</v>
      </c>
      <c r="E23" s="305">
        <v>7.114614148297041</v>
      </c>
      <c r="F23" s="295">
        <v>0</v>
      </c>
      <c r="G23" s="305">
        <v>750</v>
      </c>
      <c r="H23" s="295">
        <v>7.027346152643786</v>
      </c>
      <c r="I23" s="305">
        <f t="shared" si="0"/>
        <v>0.1340852365891143</v>
      </c>
      <c r="K23" s="10"/>
      <c r="L23" s="383"/>
      <c r="M23" s="383"/>
      <c r="N23" s="383"/>
      <c r="O23" s="383"/>
      <c r="P23" s="383"/>
      <c r="Q23" s="383"/>
      <c r="R23" s="383"/>
    </row>
    <row r="24" spans="1:18" s="56" customFormat="1" ht="12.75">
      <c r="A24" s="201">
        <f t="shared" si="1"/>
        <v>13</v>
      </c>
      <c r="B24" s="201" t="s">
        <v>607</v>
      </c>
      <c r="C24" s="305">
        <v>23.348433069261695</v>
      </c>
      <c r="D24" s="264">
        <v>0.02419017738074057</v>
      </c>
      <c r="E24" s="305">
        <v>20.392302396962442</v>
      </c>
      <c r="F24" s="295">
        <v>0</v>
      </c>
      <c r="G24" s="305">
        <v>750</v>
      </c>
      <c r="H24" s="295">
        <v>20.312450632002886</v>
      </c>
      <c r="I24" s="305">
        <f t="shared" si="0"/>
        <v>0.10404194234029873</v>
      </c>
      <c r="K24" s="10"/>
      <c r="L24" s="383"/>
      <c r="M24" s="383"/>
      <c r="N24" s="383"/>
      <c r="O24" s="383"/>
      <c r="P24" s="383"/>
      <c r="Q24" s="383"/>
      <c r="R24" s="383"/>
    </row>
    <row r="25" spans="1:18" s="56" customFormat="1" ht="12.75">
      <c r="A25" s="201">
        <f t="shared" si="1"/>
        <v>14</v>
      </c>
      <c r="B25" s="201" t="s">
        <v>636</v>
      </c>
      <c r="C25" s="305">
        <v>7.417497814083468</v>
      </c>
      <c r="D25" s="264">
        <v>0.1126304987765327</v>
      </c>
      <c r="E25" s="305">
        <v>6.478373002800439</v>
      </c>
      <c r="F25" s="295">
        <v>0</v>
      </c>
      <c r="G25" s="305">
        <v>750</v>
      </c>
      <c r="H25" s="295">
        <v>6.593004085970363</v>
      </c>
      <c r="I25" s="305">
        <f t="shared" si="0"/>
        <v>-0.002000584393391236</v>
      </c>
      <c r="K25" s="10"/>
      <c r="L25" s="383"/>
      <c r="M25" s="383"/>
      <c r="N25" s="383"/>
      <c r="O25" s="383"/>
      <c r="P25" s="383"/>
      <c r="Q25" s="383"/>
      <c r="R25" s="383"/>
    </row>
    <row r="26" spans="1:18" s="56" customFormat="1" ht="12.75">
      <c r="A26" s="201">
        <f t="shared" si="1"/>
        <v>15</v>
      </c>
      <c r="B26" s="201" t="s">
        <v>608</v>
      </c>
      <c r="C26" s="305">
        <v>12.53243856091822</v>
      </c>
      <c r="D26" s="264">
        <v>0.07202753814417008</v>
      </c>
      <c r="E26" s="305">
        <v>10.945714264742238</v>
      </c>
      <c r="F26" s="295">
        <v>0</v>
      </c>
      <c r="G26" s="305">
        <v>750</v>
      </c>
      <c r="H26" s="295">
        <v>10.99240288649553</v>
      </c>
      <c r="I26" s="305">
        <f t="shared" si="0"/>
        <v>0.025338916390877486</v>
      </c>
      <c r="K26" s="10"/>
      <c r="L26" s="383"/>
      <c r="M26" s="383"/>
      <c r="N26" s="383"/>
      <c r="O26" s="383"/>
      <c r="P26" s="383"/>
      <c r="Q26" s="383"/>
      <c r="R26" s="383"/>
    </row>
    <row r="27" spans="1:18" s="56" customFormat="1" ht="12.75">
      <c r="A27" s="201">
        <f t="shared" si="1"/>
        <v>16</v>
      </c>
      <c r="B27" s="201" t="s">
        <v>609</v>
      </c>
      <c r="C27" s="305">
        <v>12.932004225615948</v>
      </c>
      <c r="D27" s="264">
        <v>0.09432395723413589</v>
      </c>
      <c r="E27" s="305">
        <v>11.294691167722776</v>
      </c>
      <c r="F27" s="295">
        <v>0</v>
      </c>
      <c r="G27" s="305">
        <v>750</v>
      </c>
      <c r="H27" s="295">
        <v>11.393168557186977</v>
      </c>
      <c r="I27" s="305">
        <f t="shared" si="0"/>
        <v>-0.004153432230063814</v>
      </c>
      <c r="K27" s="10"/>
      <c r="L27" s="383"/>
      <c r="M27" s="383"/>
      <c r="N27" s="383"/>
      <c r="O27" s="383"/>
      <c r="P27" s="383"/>
      <c r="Q27" s="383"/>
      <c r="R27" s="383"/>
    </row>
    <row r="28" spans="1:18" s="56" customFormat="1" ht="12.75">
      <c r="A28" s="201">
        <f t="shared" si="1"/>
        <v>17</v>
      </c>
      <c r="B28" s="201" t="s">
        <v>610</v>
      </c>
      <c r="C28" s="305">
        <v>10.397044593871682</v>
      </c>
      <c r="D28" s="264">
        <v>0.05975481327369554</v>
      </c>
      <c r="E28" s="305">
        <v>9.08068120734233</v>
      </c>
      <c r="F28" s="295">
        <v>0</v>
      </c>
      <c r="G28" s="305">
        <v>750</v>
      </c>
      <c r="H28" s="295">
        <v>9.10913588488261</v>
      </c>
      <c r="I28" s="305">
        <f t="shared" si="0"/>
        <v>0.0313001357334155</v>
      </c>
      <c r="K28" s="10"/>
      <c r="L28" s="383"/>
      <c r="M28" s="383"/>
      <c r="N28" s="383"/>
      <c r="O28" s="383"/>
      <c r="P28" s="383"/>
      <c r="Q28" s="383"/>
      <c r="R28" s="383"/>
    </row>
    <row r="29" spans="1:18" ht="12.75">
      <c r="A29" s="201">
        <f t="shared" si="1"/>
        <v>18</v>
      </c>
      <c r="B29" s="201" t="s">
        <v>611</v>
      </c>
      <c r="C29" s="305">
        <v>16.654405480616834</v>
      </c>
      <c r="D29" s="264">
        <v>0.09571767060278447</v>
      </c>
      <c r="E29" s="305">
        <v>14.545801501749613</v>
      </c>
      <c r="F29" s="295">
        <v>0</v>
      </c>
      <c r="G29" s="305">
        <v>750</v>
      </c>
      <c r="H29" s="295">
        <v>14.625416016792371</v>
      </c>
      <c r="I29" s="305">
        <f t="shared" si="0"/>
        <v>0.016103155560026394</v>
      </c>
      <c r="L29" s="383"/>
      <c r="M29" s="383"/>
      <c r="N29" s="383"/>
      <c r="O29" s="383"/>
      <c r="P29" s="383"/>
      <c r="Q29" s="383"/>
      <c r="R29" s="383"/>
    </row>
    <row r="30" spans="1:18" ht="12.75">
      <c r="A30" s="201">
        <f t="shared" si="1"/>
        <v>19</v>
      </c>
      <c r="B30" s="201" t="s">
        <v>637</v>
      </c>
      <c r="C30" s="305">
        <v>8.281034876599213</v>
      </c>
      <c r="D30" s="264">
        <v>0.04759349527613014</v>
      </c>
      <c r="E30" s="305">
        <v>7.232578171839757</v>
      </c>
      <c r="F30" s="295">
        <v>0</v>
      </c>
      <c r="G30" s="305">
        <v>750</v>
      </c>
      <c r="H30" s="295">
        <v>7.165572830104711</v>
      </c>
      <c r="I30" s="305">
        <f t="shared" si="0"/>
        <v>0.1145988370111759</v>
      </c>
      <c r="L30" s="383"/>
      <c r="M30" s="383"/>
      <c r="N30" s="383"/>
      <c r="O30" s="383"/>
      <c r="P30" s="383"/>
      <c r="Q30" s="383"/>
      <c r="R30" s="383"/>
    </row>
    <row r="31" spans="1:18" ht="12.75">
      <c r="A31" s="201">
        <f t="shared" si="1"/>
        <v>20</v>
      </c>
      <c r="B31" s="201" t="s">
        <v>612</v>
      </c>
      <c r="C31" s="305">
        <v>16.830114325343068</v>
      </c>
      <c r="D31" s="264">
        <v>0.04672751999915441</v>
      </c>
      <c r="E31" s="305">
        <v>14.699263958302872</v>
      </c>
      <c r="F31" s="295">
        <v>0</v>
      </c>
      <c r="G31" s="305">
        <v>750</v>
      </c>
      <c r="H31" s="295">
        <v>14.71721755333393</v>
      </c>
      <c r="I31" s="305">
        <f t="shared" si="0"/>
        <v>0.028773924968096054</v>
      </c>
      <c r="L31" s="383"/>
      <c r="M31" s="383"/>
      <c r="N31" s="383"/>
      <c r="O31" s="383"/>
      <c r="P31" s="383"/>
      <c r="Q31" s="383"/>
      <c r="R31" s="383"/>
    </row>
    <row r="32" spans="1:18" ht="12.75">
      <c r="A32" s="201">
        <f t="shared" si="1"/>
        <v>21</v>
      </c>
      <c r="B32" s="201" t="s">
        <v>613</v>
      </c>
      <c r="C32" s="305">
        <v>5.037403747738479</v>
      </c>
      <c r="D32" s="264">
        <v>0.09895141187600084</v>
      </c>
      <c r="E32" s="305">
        <v>4.39962117435246</v>
      </c>
      <c r="F32" s="295">
        <v>0</v>
      </c>
      <c r="G32" s="305">
        <v>750</v>
      </c>
      <c r="H32" s="295">
        <v>4.498302132008491</v>
      </c>
      <c r="I32" s="305">
        <f t="shared" si="0"/>
        <v>0.00027045421996962915</v>
      </c>
      <c r="L32" s="383"/>
      <c r="M32" s="383"/>
      <c r="N32" s="383"/>
      <c r="O32" s="383"/>
      <c r="P32" s="383"/>
      <c r="Q32" s="383"/>
      <c r="R32" s="383"/>
    </row>
    <row r="33" spans="1:18" ht="12.75">
      <c r="A33" s="201">
        <f t="shared" si="1"/>
        <v>22</v>
      </c>
      <c r="B33" s="201" t="s">
        <v>614</v>
      </c>
      <c r="C33" s="305">
        <v>5.365476964344751</v>
      </c>
      <c r="D33" s="264">
        <v>0.030836943251903906</v>
      </c>
      <c r="E33" s="305">
        <v>4.686157243883691</v>
      </c>
      <c r="F33" s="295">
        <v>0</v>
      </c>
      <c r="G33" s="305">
        <v>750</v>
      </c>
      <c r="H33" s="295">
        <v>4.679866533050441</v>
      </c>
      <c r="I33" s="305">
        <f t="shared" si="0"/>
        <v>0.03712765408515395</v>
      </c>
      <c r="L33" s="383"/>
      <c r="M33" s="383"/>
      <c r="N33" s="383"/>
      <c r="O33" s="383"/>
      <c r="P33" s="383"/>
      <c r="Q33" s="383"/>
      <c r="R33" s="383"/>
    </row>
    <row r="34" spans="1:18" ht="12.75">
      <c r="A34" s="201">
        <f t="shared" si="1"/>
        <v>23</v>
      </c>
      <c r="B34" s="201" t="s">
        <v>615</v>
      </c>
      <c r="C34" s="305">
        <v>24.031050467219472</v>
      </c>
      <c r="D34" s="264">
        <v>0.11811337639985274</v>
      </c>
      <c r="E34" s="305">
        <v>20.988494028293303</v>
      </c>
      <c r="F34" s="295">
        <v>0</v>
      </c>
      <c r="G34" s="305">
        <v>750</v>
      </c>
      <c r="H34" s="295">
        <v>21.084167764496055</v>
      </c>
      <c r="I34" s="305">
        <f t="shared" si="0"/>
        <v>0.02243964019709921</v>
      </c>
      <c r="L34" s="383"/>
      <c r="M34" s="383"/>
      <c r="N34" s="383"/>
      <c r="O34" s="383"/>
      <c r="P34" s="383"/>
      <c r="Q34" s="383"/>
      <c r="R34" s="383"/>
    </row>
    <row r="35" spans="1:18" ht="12.75">
      <c r="A35" s="201">
        <f t="shared" si="1"/>
        <v>24</v>
      </c>
      <c r="B35" s="201" t="s">
        <v>616</v>
      </c>
      <c r="C35" s="305">
        <v>18.24975008030197</v>
      </c>
      <c r="D35" s="264">
        <v>0.02488657603554309</v>
      </c>
      <c r="E35" s="305">
        <v>15.93916050822486</v>
      </c>
      <c r="F35" s="295">
        <v>0</v>
      </c>
      <c r="G35" s="305">
        <v>750</v>
      </c>
      <c r="H35" s="295">
        <v>15.932229467244305</v>
      </c>
      <c r="I35" s="305">
        <f t="shared" si="0"/>
        <v>0.031817617016098865</v>
      </c>
      <c r="L35" s="383"/>
      <c r="M35" s="383"/>
      <c r="N35" s="383"/>
      <c r="O35" s="383"/>
      <c r="P35" s="383"/>
      <c r="Q35" s="383"/>
      <c r="R35" s="383"/>
    </row>
    <row r="36" spans="1:18" ht="12.75">
      <c r="A36" s="201">
        <f t="shared" si="1"/>
        <v>25</v>
      </c>
      <c r="B36" s="201" t="s">
        <v>617</v>
      </c>
      <c r="C36" s="305">
        <v>12.631027272134718</v>
      </c>
      <c r="D36" s="264">
        <v>0.1525941558956327</v>
      </c>
      <c r="E36" s="305">
        <v>11.031820720198574</v>
      </c>
      <c r="F36" s="295">
        <v>0</v>
      </c>
      <c r="G36" s="305">
        <v>750</v>
      </c>
      <c r="H36" s="295">
        <v>11.188215233196411</v>
      </c>
      <c r="I36" s="305">
        <f t="shared" si="0"/>
        <v>-0.003800357102203833</v>
      </c>
      <c r="L36" s="383"/>
      <c r="M36" s="383"/>
      <c r="N36" s="383"/>
      <c r="O36" s="383"/>
      <c r="P36" s="383"/>
      <c r="Q36" s="383"/>
      <c r="R36" s="383"/>
    </row>
    <row r="37" spans="1:18" ht="12.75">
      <c r="A37" s="201">
        <f t="shared" si="1"/>
        <v>26</v>
      </c>
      <c r="B37" s="201" t="s">
        <v>618</v>
      </c>
      <c r="C37" s="305">
        <v>10.140463825356866</v>
      </c>
      <c r="D37" s="264">
        <v>0.05828016961185522</v>
      </c>
      <c r="E37" s="305">
        <v>8.85658597126041</v>
      </c>
      <c r="F37" s="295">
        <v>0</v>
      </c>
      <c r="G37" s="305">
        <v>750</v>
      </c>
      <c r="H37" s="295">
        <v>8.887148314715722</v>
      </c>
      <c r="I37" s="305">
        <f t="shared" si="0"/>
        <v>0.02771782615654317</v>
      </c>
      <c r="L37" s="383"/>
      <c r="M37" s="383"/>
      <c r="N37" s="383"/>
      <c r="O37" s="383"/>
      <c r="P37" s="383"/>
      <c r="Q37" s="383"/>
      <c r="R37" s="383"/>
    </row>
    <row r="38" spans="1:18" ht="12.75">
      <c r="A38" s="201">
        <f t="shared" si="1"/>
        <v>27</v>
      </c>
      <c r="B38" s="201" t="s">
        <v>619</v>
      </c>
      <c r="C38" s="305">
        <v>15.17536637957611</v>
      </c>
      <c r="D38" s="264">
        <v>0.027217206407480682</v>
      </c>
      <c r="E38" s="305">
        <v>13.254022626658376</v>
      </c>
      <c r="F38" s="295">
        <v>0</v>
      </c>
      <c r="G38" s="305">
        <v>750</v>
      </c>
      <c r="H38" s="295">
        <v>13.283119857325282</v>
      </c>
      <c r="I38" s="305">
        <f t="shared" si="0"/>
        <v>-0.0018800242594263494</v>
      </c>
      <c r="L38" s="383"/>
      <c r="M38" s="383"/>
      <c r="N38" s="383"/>
      <c r="O38" s="383"/>
      <c r="P38" s="383"/>
      <c r="Q38" s="383"/>
      <c r="R38" s="383"/>
    </row>
    <row r="39" spans="1:18" ht="12.75">
      <c r="A39" s="201">
        <f t="shared" si="1"/>
        <v>28</v>
      </c>
      <c r="B39" s="143" t="s">
        <v>620</v>
      </c>
      <c r="C39" s="305">
        <v>7.462310864636422</v>
      </c>
      <c r="D39" s="264">
        <v>0.012888052299924777</v>
      </c>
      <c r="E39" s="305">
        <v>6.517512300735137</v>
      </c>
      <c r="F39" s="295">
        <v>0</v>
      </c>
      <c r="G39" s="305">
        <v>750</v>
      </c>
      <c r="H39" s="295">
        <v>6.473766853157508</v>
      </c>
      <c r="I39" s="305">
        <f t="shared" si="0"/>
        <v>0.05663349987755417</v>
      </c>
      <c r="L39" s="383"/>
      <c r="M39" s="383"/>
      <c r="N39" s="383"/>
      <c r="O39" s="383"/>
      <c r="P39" s="383"/>
      <c r="Q39" s="383"/>
      <c r="R39" s="383"/>
    </row>
    <row r="40" spans="1:18" ht="12.75">
      <c r="A40" s="201">
        <f t="shared" si="1"/>
        <v>29</v>
      </c>
      <c r="B40" s="143" t="s">
        <v>621</v>
      </c>
      <c r="C40" s="305">
        <v>5.76816912094152</v>
      </c>
      <c r="D40" s="264">
        <v>0.03315133119233893</v>
      </c>
      <c r="E40" s="305">
        <v>5.037864795557349</v>
      </c>
      <c r="F40" s="295">
        <v>0</v>
      </c>
      <c r="G40" s="305">
        <v>750</v>
      </c>
      <c r="H40" s="295">
        <v>5.007338318029549</v>
      </c>
      <c r="I40" s="305">
        <f t="shared" si="0"/>
        <v>0.06367780872013817</v>
      </c>
      <c r="L40" s="383"/>
      <c r="M40" s="383"/>
      <c r="N40" s="383"/>
      <c r="O40" s="383"/>
      <c r="P40" s="383"/>
      <c r="Q40" s="383"/>
      <c r="R40" s="383"/>
    </row>
    <row r="41" spans="1:18" ht="12.75">
      <c r="A41" s="201">
        <f t="shared" si="1"/>
        <v>30</v>
      </c>
      <c r="B41" s="143" t="s">
        <v>622</v>
      </c>
      <c r="C41" s="305">
        <v>7.166336298193661</v>
      </c>
      <c r="D41" s="264">
        <v>0.04118700112217233</v>
      </c>
      <c r="E41" s="305">
        <v>6.259010891119924</v>
      </c>
      <c r="F41" s="295">
        <v>0</v>
      </c>
      <c r="G41" s="305">
        <v>750</v>
      </c>
      <c r="H41" s="295">
        <v>6.28095566179435</v>
      </c>
      <c r="I41" s="305">
        <f t="shared" si="0"/>
        <v>0.019242230447746422</v>
      </c>
      <c r="L41" s="383"/>
      <c r="M41" s="383"/>
      <c r="N41" s="383"/>
      <c r="O41" s="383"/>
      <c r="P41" s="383"/>
      <c r="Q41" s="383"/>
      <c r="R41" s="383"/>
    </row>
    <row r="42" spans="1:18" ht="12.75">
      <c r="A42" s="201">
        <f t="shared" si="1"/>
        <v>31</v>
      </c>
      <c r="B42" s="143" t="s">
        <v>623</v>
      </c>
      <c r="C42" s="305">
        <v>6.975411859558752</v>
      </c>
      <c r="D42" s="264">
        <v>0.15008970332018554</v>
      </c>
      <c r="E42" s="305">
        <v>6.09225927759349</v>
      </c>
      <c r="F42" s="295">
        <v>0</v>
      </c>
      <c r="G42" s="305">
        <v>750</v>
      </c>
      <c r="H42" s="295">
        <v>6.242871036320837</v>
      </c>
      <c r="I42" s="305">
        <f t="shared" si="0"/>
        <v>-0.000522055407161659</v>
      </c>
      <c r="L42" s="383"/>
      <c r="M42" s="383"/>
      <c r="N42" s="383"/>
      <c r="O42" s="383"/>
      <c r="P42" s="383"/>
      <c r="Q42" s="383"/>
      <c r="R42" s="383"/>
    </row>
    <row r="43" spans="1:9" ht="12.75">
      <c r="A43" s="150"/>
      <c r="B43" s="150" t="s">
        <v>624</v>
      </c>
      <c r="C43" s="279">
        <f>SUM(C12:C42)</f>
        <v>354.94999999999993</v>
      </c>
      <c r="D43" s="279">
        <f aca="true" t="shared" si="2" ref="D43:I43">SUM(D12:D42)</f>
        <v>2.0400000000000005</v>
      </c>
      <c r="E43" s="279">
        <f t="shared" si="2"/>
        <v>310.01000000000005</v>
      </c>
      <c r="F43" s="279">
        <f t="shared" si="2"/>
        <v>0</v>
      </c>
      <c r="G43" s="279">
        <v>750</v>
      </c>
      <c r="H43" s="279">
        <f t="shared" si="2"/>
        <v>309.49537499999997</v>
      </c>
      <c r="I43" s="279">
        <f t="shared" si="2"/>
        <v>2.554625000000007</v>
      </c>
    </row>
    <row r="45" spans="5:9" s="323" customFormat="1" ht="12.75">
      <c r="E45" s="332"/>
      <c r="F45" s="332"/>
      <c r="G45" s="332"/>
      <c r="H45" s="332"/>
      <c r="I45" s="332"/>
    </row>
    <row r="47" spans="6:9" ht="15.75">
      <c r="F47" s="621" t="s">
        <v>860</v>
      </c>
      <c r="G47" s="621"/>
      <c r="H47" s="621"/>
      <c r="I47" s="621"/>
    </row>
    <row r="48" spans="6:9" ht="15.75">
      <c r="F48" s="621" t="s">
        <v>653</v>
      </c>
      <c r="G48" s="621"/>
      <c r="H48" s="621"/>
      <c r="I48" s="621"/>
    </row>
    <row r="49" spans="6:9" ht="14.25">
      <c r="F49" s="28"/>
      <c r="G49" s="28"/>
      <c r="H49" s="28"/>
      <c r="I49" s="28"/>
    </row>
  </sheetData>
  <sheetProtection/>
  <mergeCells count="6">
    <mergeCell ref="F47:I47"/>
    <mergeCell ref="F48:I48"/>
    <mergeCell ref="A2:I2"/>
    <mergeCell ref="A3:I3"/>
    <mergeCell ref="D9:I9"/>
    <mergeCell ref="A5:I5"/>
  </mergeCells>
  <printOptions horizontalCentered="1"/>
  <pageMargins left="0.31" right="0.38" top="0.51" bottom="0" header="0.31496062992125984" footer="0.31496062992125984"/>
  <pageSetup fitToHeight="1" fitToWidth="1" horizontalDpi="600" verticalDpi="600" orientation="landscape" paperSize="9" scale="79" r:id="rId1"/>
  <colBreaks count="1" manualBreakCount="1">
    <brk id="9" max="3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2"/>
  <sheetViews>
    <sheetView zoomScaleSheetLayoutView="55" zoomScalePageLayoutView="0" workbookViewId="0" topLeftCell="A12">
      <selection activeCell="E17" sqref="E17:E24"/>
    </sheetView>
  </sheetViews>
  <sheetFormatPr defaultColWidth="9.140625" defaultRowHeight="12.75"/>
  <cols>
    <col min="1" max="1" width="4.421875" style="6" customWidth="1"/>
    <col min="2" max="2" width="37.28125" style="6" customWidth="1"/>
    <col min="3" max="3" width="12.28125" style="6" customWidth="1"/>
    <col min="4" max="5" width="15.140625" style="6" customWidth="1"/>
    <col min="6" max="6" width="15.8515625" style="6" customWidth="1"/>
    <col min="7" max="7" width="12.57421875" style="6" customWidth="1"/>
    <col min="8" max="8" width="23.7109375" style="6" customWidth="1"/>
    <col min="9" max="16384" width="9.140625" style="6" customWidth="1"/>
  </cols>
  <sheetData>
    <row r="1" spans="4:14" ht="15">
      <c r="D1" s="21"/>
      <c r="E1" s="21"/>
      <c r="F1" s="21"/>
      <c r="H1" s="176" t="s">
        <v>63</v>
      </c>
      <c r="I1" s="21"/>
      <c r="M1" s="25"/>
      <c r="N1" s="25"/>
    </row>
    <row r="2" spans="1:14" ht="15.75">
      <c r="A2" s="562" t="s">
        <v>0</v>
      </c>
      <c r="B2" s="562"/>
      <c r="C2" s="562"/>
      <c r="D2" s="562"/>
      <c r="E2" s="562"/>
      <c r="F2" s="562"/>
      <c r="G2" s="562"/>
      <c r="H2" s="562"/>
      <c r="I2" s="27"/>
      <c r="J2" s="27"/>
      <c r="K2" s="27"/>
      <c r="L2" s="27"/>
      <c r="M2" s="27"/>
      <c r="N2" s="27"/>
    </row>
    <row r="3" spans="1:14" ht="20.25">
      <c r="A3" s="563" t="s">
        <v>695</v>
      </c>
      <c r="B3" s="563"/>
      <c r="C3" s="563"/>
      <c r="D3" s="563"/>
      <c r="E3" s="563"/>
      <c r="F3" s="563"/>
      <c r="G3" s="563"/>
      <c r="H3" s="563"/>
      <c r="I3" s="26"/>
      <c r="J3" s="26"/>
      <c r="K3" s="26"/>
      <c r="L3" s="26"/>
      <c r="M3" s="26"/>
      <c r="N3" s="26"/>
    </row>
    <row r="4" ht="10.5" customHeight="1"/>
    <row r="5" spans="1:8" ht="19.5" customHeight="1">
      <c r="A5" s="564" t="s">
        <v>726</v>
      </c>
      <c r="B5" s="719"/>
      <c r="C5" s="719"/>
      <c r="D5" s="719"/>
      <c r="E5" s="719"/>
      <c r="F5" s="719"/>
      <c r="G5" s="719"/>
      <c r="H5" s="719"/>
    </row>
    <row r="7" spans="1:10" s="4" customFormat="1" ht="15.75" customHeight="1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s="4" customFormat="1" ht="15.75">
      <c r="A8" s="559" t="s">
        <v>665</v>
      </c>
      <c r="B8" s="559"/>
      <c r="C8" s="6"/>
      <c r="D8" s="6"/>
      <c r="E8" s="6"/>
      <c r="F8" s="6"/>
      <c r="G8" s="6"/>
      <c r="H8" s="19" t="s">
        <v>23</v>
      </c>
      <c r="I8" s="6"/>
    </row>
    <row r="9" spans="1:20" s="4" customFormat="1" ht="15.75">
      <c r="A9" s="5"/>
      <c r="B9" s="6"/>
      <c r="C9" s="6"/>
      <c r="D9" s="46"/>
      <c r="E9" s="46"/>
      <c r="G9" s="342" t="s">
        <v>793</v>
      </c>
      <c r="H9" s="46"/>
      <c r="J9" s="46"/>
      <c r="K9" s="46"/>
      <c r="L9" s="46"/>
      <c r="S9" s="62"/>
      <c r="T9" s="60"/>
    </row>
    <row r="10" spans="1:8" s="22" customFormat="1" ht="55.5" customHeight="1">
      <c r="A10" s="24"/>
      <c r="B10" s="1" t="s">
        <v>24</v>
      </c>
      <c r="C10" s="1" t="s">
        <v>727</v>
      </c>
      <c r="D10" s="1" t="s">
        <v>785</v>
      </c>
      <c r="E10" s="1" t="s">
        <v>222</v>
      </c>
      <c r="F10" s="1" t="s">
        <v>223</v>
      </c>
      <c r="G10" s="1" t="s">
        <v>69</v>
      </c>
      <c r="H10" s="1" t="s">
        <v>794</v>
      </c>
    </row>
    <row r="11" spans="1:8" s="22" customFormat="1" ht="14.2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ht="16.5" customHeight="1">
      <c r="A12" s="17" t="s">
        <v>25</v>
      </c>
      <c r="B12" s="17" t="s">
        <v>26</v>
      </c>
      <c r="C12" s="717">
        <v>151.51</v>
      </c>
      <c r="D12" s="718">
        <v>0</v>
      </c>
      <c r="E12" s="718">
        <v>154.32</v>
      </c>
      <c r="F12" s="718">
        <v>0</v>
      </c>
      <c r="G12" s="306"/>
      <c r="H12" s="718">
        <f>D12+E12-G12-G13-G14-G15</f>
        <v>42.31999999999999</v>
      </c>
    </row>
    <row r="13" spans="1:8" ht="20.25" customHeight="1">
      <c r="A13" s="8"/>
      <c r="B13" s="8" t="s">
        <v>27</v>
      </c>
      <c r="C13" s="717"/>
      <c r="D13" s="718"/>
      <c r="E13" s="718"/>
      <c r="F13" s="718"/>
      <c r="G13" s="306">
        <v>112</v>
      </c>
      <c r="H13" s="718"/>
    </row>
    <row r="14" spans="1:8" ht="17.25" customHeight="1">
      <c r="A14" s="8"/>
      <c r="B14" s="8" t="s">
        <v>186</v>
      </c>
      <c r="C14" s="717"/>
      <c r="D14" s="718"/>
      <c r="E14" s="718"/>
      <c r="F14" s="718"/>
      <c r="G14" s="306"/>
      <c r="H14" s="718"/>
    </row>
    <row r="15" spans="1:8" s="22" customFormat="1" ht="33.75" customHeight="1">
      <c r="A15" s="23"/>
      <c r="B15" s="23" t="s">
        <v>187</v>
      </c>
      <c r="C15" s="717"/>
      <c r="D15" s="718"/>
      <c r="E15" s="718"/>
      <c r="F15" s="718"/>
      <c r="G15" s="301"/>
      <c r="H15" s="718"/>
    </row>
    <row r="16" spans="1:8" s="22" customFormat="1" ht="12.75">
      <c r="A16" s="23"/>
      <c r="B16" s="24" t="s">
        <v>28</v>
      </c>
      <c r="C16" s="389">
        <f>SUM(C12)</f>
        <v>151.51</v>
      </c>
      <c r="D16" s="307">
        <f>SUM(D12)</f>
        <v>0</v>
      </c>
      <c r="E16" s="307">
        <f>SUM(E12)</f>
        <v>154.32</v>
      </c>
      <c r="F16" s="307">
        <f>SUM(F12)</f>
        <v>0</v>
      </c>
      <c r="G16" s="307">
        <f>SUM(G12:G15)</f>
        <v>112</v>
      </c>
      <c r="H16" s="307">
        <f>SUM(H12)</f>
        <v>42.31999999999999</v>
      </c>
    </row>
    <row r="17" spans="1:8" s="22" customFormat="1" ht="40.5" customHeight="1">
      <c r="A17" s="24" t="s">
        <v>29</v>
      </c>
      <c r="B17" s="24" t="s">
        <v>221</v>
      </c>
      <c r="C17" s="716">
        <v>150</v>
      </c>
      <c r="D17" s="716">
        <v>62.19</v>
      </c>
      <c r="E17" s="716">
        <v>154.35</v>
      </c>
      <c r="F17" s="716">
        <v>0</v>
      </c>
      <c r="G17" s="334"/>
      <c r="H17" s="716">
        <f>D17+E17-G17-G18-G19-G20-G21-G22-G23-G24</f>
        <v>42.53999999999999</v>
      </c>
    </row>
    <row r="18" spans="1:8" ht="28.5" customHeight="1">
      <c r="A18" s="8"/>
      <c r="B18" s="70" t="s">
        <v>189</v>
      </c>
      <c r="C18" s="716"/>
      <c r="D18" s="716"/>
      <c r="E18" s="716"/>
      <c r="F18" s="716"/>
      <c r="G18" s="335">
        <v>72</v>
      </c>
      <c r="H18" s="716"/>
    </row>
    <row r="19" spans="1:8" ht="19.5" customHeight="1">
      <c r="A19" s="8"/>
      <c r="B19" s="23" t="s">
        <v>30</v>
      </c>
      <c r="C19" s="716"/>
      <c r="D19" s="716"/>
      <c r="E19" s="716"/>
      <c r="F19" s="716"/>
      <c r="G19" s="335">
        <v>2</v>
      </c>
      <c r="H19" s="716"/>
    </row>
    <row r="20" spans="1:8" ht="21.75" customHeight="1">
      <c r="A20" s="8"/>
      <c r="B20" s="23" t="s">
        <v>190</v>
      </c>
      <c r="C20" s="716"/>
      <c r="D20" s="716"/>
      <c r="E20" s="716"/>
      <c r="F20" s="716"/>
      <c r="G20" s="335">
        <v>55</v>
      </c>
      <c r="H20" s="716"/>
    </row>
    <row r="21" spans="1:8" s="22" customFormat="1" ht="27.75" customHeight="1">
      <c r="A21" s="23"/>
      <c r="B21" s="23" t="s">
        <v>31</v>
      </c>
      <c r="C21" s="716"/>
      <c r="D21" s="716"/>
      <c r="E21" s="716"/>
      <c r="F21" s="716"/>
      <c r="G21" s="334"/>
      <c r="H21" s="716"/>
    </row>
    <row r="22" spans="1:8" s="22" customFormat="1" ht="19.5" customHeight="1">
      <c r="A22" s="23"/>
      <c r="B22" s="23" t="s">
        <v>188</v>
      </c>
      <c r="C22" s="716"/>
      <c r="D22" s="716"/>
      <c r="E22" s="716"/>
      <c r="F22" s="716"/>
      <c r="G22" s="334"/>
      <c r="H22" s="716"/>
    </row>
    <row r="23" spans="1:8" s="22" customFormat="1" ht="27.75" customHeight="1">
      <c r="A23" s="23"/>
      <c r="B23" s="23" t="s">
        <v>191</v>
      </c>
      <c r="C23" s="716"/>
      <c r="D23" s="716"/>
      <c r="E23" s="716"/>
      <c r="F23" s="716"/>
      <c r="G23" s="334"/>
      <c r="H23" s="716"/>
    </row>
    <row r="24" spans="1:8" s="22" customFormat="1" ht="18.75" customHeight="1">
      <c r="A24" s="24"/>
      <c r="B24" s="23" t="s">
        <v>192</v>
      </c>
      <c r="C24" s="716"/>
      <c r="D24" s="716"/>
      <c r="E24" s="716"/>
      <c r="F24" s="716"/>
      <c r="G24" s="334">
        <v>45</v>
      </c>
      <c r="H24" s="716"/>
    </row>
    <row r="25" spans="1:8" s="22" customFormat="1" ht="19.5" customHeight="1">
      <c r="A25" s="24"/>
      <c r="B25" s="24" t="s">
        <v>28</v>
      </c>
      <c r="C25" s="336">
        <f>SUM(C17)</f>
        <v>150</v>
      </c>
      <c r="D25" s="336">
        <f>SUM(D17)</f>
        <v>62.19</v>
      </c>
      <c r="E25" s="336">
        <f>SUM(E17)</f>
        <v>154.35</v>
      </c>
      <c r="F25" s="336">
        <f>SUM(F17)</f>
        <v>0</v>
      </c>
      <c r="G25" s="336">
        <f>SUM(G17:G24)</f>
        <v>174</v>
      </c>
      <c r="H25" s="336">
        <f>SUM(H17)</f>
        <v>42.53999999999999</v>
      </c>
    </row>
    <row r="26" spans="1:8" ht="12.75">
      <c r="A26" s="8"/>
      <c r="B26" s="17" t="s">
        <v>32</v>
      </c>
      <c r="C26" s="336">
        <f aca="true" t="shared" si="0" ref="C26:H26">C25+C16</f>
        <v>301.51</v>
      </c>
      <c r="D26" s="336">
        <f t="shared" si="0"/>
        <v>62.19</v>
      </c>
      <c r="E26" s="336">
        <f t="shared" si="0"/>
        <v>308.66999999999996</v>
      </c>
      <c r="F26" s="336">
        <f t="shared" si="0"/>
        <v>0</v>
      </c>
      <c r="G26" s="336">
        <f t="shared" si="0"/>
        <v>286</v>
      </c>
      <c r="H26" s="336">
        <f t="shared" si="0"/>
        <v>84.85999999999999</v>
      </c>
    </row>
    <row r="27" s="22" customFormat="1" ht="15.75" customHeight="1"/>
    <row r="28" s="333" customFormat="1" ht="15.75" customHeight="1"/>
    <row r="31" spans="5:8" ht="15.75">
      <c r="E31" s="621" t="s">
        <v>860</v>
      </c>
      <c r="F31" s="621"/>
      <c r="G31" s="621"/>
      <c r="H31" s="621"/>
    </row>
    <row r="32" spans="5:8" ht="15.75">
      <c r="E32" s="621" t="s">
        <v>653</v>
      </c>
      <c r="F32" s="621"/>
      <c r="G32" s="621"/>
      <c r="H32" s="621"/>
    </row>
  </sheetData>
  <sheetProtection/>
  <mergeCells count="16">
    <mergeCell ref="A8:B8"/>
    <mergeCell ref="E31:H31"/>
    <mergeCell ref="E32:H32"/>
    <mergeCell ref="D17:D24"/>
    <mergeCell ref="E17:E24"/>
    <mergeCell ref="F17:F24"/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</mergeCells>
  <printOptions horizontalCentered="1"/>
  <pageMargins left="0.42" right="0.37" top="0.44" bottom="0" header="0.31496062992125984" footer="0.31496062992125984"/>
  <pageSetup fitToHeight="1" fitToWidth="1"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55" zoomScaleNormal="70" zoomScaleSheetLayoutView="55" zoomScalePageLayoutView="0" workbookViewId="0" topLeftCell="A4">
      <selection activeCell="D34" sqref="D34"/>
    </sheetView>
  </sheetViews>
  <sheetFormatPr defaultColWidth="9.140625" defaultRowHeight="12.75"/>
  <cols>
    <col min="1" max="1" width="9.140625" style="6" customWidth="1"/>
    <col min="2" max="2" width="19.28125" style="6" customWidth="1"/>
    <col min="3" max="3" width="28.421875" style="6" customWidth="1"/>
    <col min="4" max="4" width="27.7109375" style="6" customWidth="1"/>
    <col min="5" max="5" width="30.28125" style="6" customWidth="1"/>
    <col min="6" max="16384" width="9.140625" style="6" customWidth="1"/>
  </cols>
  <sheetData>
    <row r="1" spans="5:6" ht="15">
      <c r="E1" s="176" t="s">
        <v>505</v>
      </c>
      <c r="F1" s="25"/>
    </row>
    <row r="2" spans="1:6" ht="15.75">
      <c r="A2" s="562" t="s">
        <v>0</v>
      </c>
      <c r="B2" s="562"/>
      <c r="C2" s="562"/>
      <c r="D2" s="562"/>
      <c r="E2" s="562"/>
      <c r="F2" s="27"/>
    </row>
    <row r="3" spans="2:6" ht="20.25">
      <c r="B3" s="169"/>
      <c r="C3" s="26" t="s">
        <v>695</v>
      </c>
      <c r="D3" s="26"/>
      <c r="E3" s="26"/>
      <c r="F3" s="26"/>
    </row>
    <row r="4" ht="10.5" customHeight="1"/>
    <row r="5" spans="1:5" ht="30.75" customHeight="1">
      <c r="A5" s="715" t="s">
        <v>728</v>
      </c>
      <c r="B5" s="715"/>
      <c r="C5" s="715"/>
      <c r="D5" s="715"/>
      <c r="E5" s="715"/>
    </row>
    <row r="7" ht="0.75" customHeight="1"/>
    <row r="8" ht="12.75">
      <c r="A8" s="5" t="s">
        <v>669</v>
      </c>
    </row>
    <row r="9" spans="4:18" ht="12.75">
      <c r="D9" s="677" t="s">
        <v>749</v>
      </c>
      <c r="E9" s="677"/>
      <c r="Q9" s="8"/>
      <c r="R9" s="10"/>
    </row>
    <row r="10" spans="1:18" ht="26.25" customHeight="1">
      <c r="A10" s="530" t="s">
        <v>2</v>
      </c>
      <c r="B10" s="530" t="s">
        <v>3</v>
      </c>
      <c r="C10" s="720" t="s">
        <v>501</v>
      </c>
      <c r="D10" s="721"/>
      <c r="E10" s="722"/>
      <c r="Q10" s="10"/>
      <c r="R10" s="10"/>
    </row>
    <row r="11" spans="1:5" ht="56.25" customHeight="1">
      <c r="A11" s="530"/>
      <c r="B11" s="530"/>
      <c r="C11" s="1" t="s">
        <v>503</v>
      </c>
      <c r="D11" s="1" t="s">
        <v>504</v>
      </c>
      <c r="E11" s="1" t="s">
        <v>502</v>
      </c>
    </row>
    <row r="12" spans="1:5" s="56" customFormat="1" ht="15.75" customHeight="1">
      <c r="A12" s="32">
        <v>1</v>
      </c>
      <c r="B12" s="31">
        <v>2</v>
      </c>
      <c r="C12" s="32">
        <v>3</v>
      </c>
      <c r="D12" s="31">
        <v>4</v>
      </c>
      <c r="E12" s="32">
        <v>5</v>
      </c>
    </row>
    <row r="13" spans="1:5" s="56" customFormat="1" ht="12.75">
      <c r="A13" s="201">
        <v>1</v>
      </c>
      <c r="B13" s="201" t="s">
        <v>633</v>
      </c>
      <c r="C13" s="394">
        <v>0</v>
      </c>
      <c r="D13" s="48">
        <v>1</v>
      </c>
      <c r="E13" s="394">
        <v>1152</v>
      </c>
    </row>
    <row r="14" spans="1:5" s="56" customFormat="1" ht="12.75">
      <c r="A14" s="201">
        <f>A13+1</f>
        <v>2</v>
      </c>
      <c r="B14" s="201" t="s">
        <v>598</v>
      </c>
      <c r="C14" s="143">
        <v>2</v>
      </c>
      <c r="D14" s="75">
        <v>1</v>
      </c>
      <c r="E14" s="394">
        <v>1313</v>
      </c>
    </row>
    <row r="15" spans="1:5" s="56" customFormat="1" ht="12.75">
      <c r="A15" s="201">
        <f aca="true" t="shared" si="0" ref="A15:A43">A14+1</f>
        <v>3</v>
      </c>
      <c r="B15" s="201" t="s">
        <v>634</v>
      </c>
      <c r="C15" s="394">
        <v>0</v>
      </c>
      <c r="D15" s="269">
        <v>1</v>
      </c>
      <c r="E15" s="394">
        <v>883</v>
      </c>
    </row>
    <row r="16" spans="1:5" s="56" customFormat="1" ht="12.75">
      <c r="A16" s="201">
        <f t="shared" si="0"/>
        <v>4</v>
      </c>
      <c r="B16" s="201" t="s">
        <v>599</v>
      </c>
      <c r="C16" s="394">
        <v>0</v>
      </c>
      <c r="D16" s="269">
        <v>1</v>
      </c>
      <c r="E16" s="394">
        <v>805</v>
      </c>
    </row>
    <row r="17" spans="1:5" s="56" customFormat="1" ht="12.75">
      <c r="A17" s="201">
        <f t="shared" si="0"/>
        <v>5</v>
      </c>
      <c r="B17" s="201" t="s">
        <v>600</v>
      </c>
      <c r="C17" s="394">
        <v>1</v>
      </c>
      <c r="D17" s="269">
        <v>3</v>
      </c>
      <c r="E17" s="394">
        <v>524</v>
      </c>
    </row>
    <row r="18" spans="1:5" s="56" customFormat="1" ht="12.75">
      <c r="A18" s="201">
        <f t="shared" si="0"/>
        <v>6</v>
      </c>
      <c r="B18" s="201" t="s">
        <v>601</v>
      </c>
      <c r="C18" s="394">
        <v>0</v>
      </c>
      <c r="D18" s="269">
        <v>1</v>
      </c>
      <c r="E18" s="394">
        <v>826</v>
      </c>
    </row>
    <row r="19" spans="1:5" s="56" customFormat="1" ht="12.75">
      <c r="A19" s="201">
        <f t="shared" si="0"/>
        <v>7</v>
      </c>
      <c r="B19" s="201" t="s">
        <v>602</v>
      </c>
      <c r="C19" s="394">
        <v>0</v>
      </c>
      <c r="D19" s="269">
        <v>1</v>
      </c>
      <c r="E19" s="394">
        <v>466</v>
      </c>
    </row>
    <row r="20" spans="1:5" s="56" customFormat="1" ht="12.75">
      <c r="A20" s="201">
        <f t="shared" si="0"/>
        <v>8</v>
      </c>
      <c r="B20" s="201" t="s">
        <v>603</v>
      </c>
      <c r="C20" s="394">
        <v>0</v>
      </c>
      <c r="D20" s="269">
        <v>1</v>
      </c>
      <c r="E20" s="394">
        <v>1014</v>
      </c>
    </row>
    <row r="21" spans="1:5" s="56" customFormat="1" ht="12.75">
      <c r="A21" s="201">
        <f t="shared" si="0"/>
        <v>9</v>
      </c>
      <c r="B21" s="201" t="s">
        <v>604</v>
      </c>
      <c r="C21" s="394">
        <v>0</v>
      </c>
      <c r="D21" s="269">
        <v>1</v>
      </c>
      <c r="E21" s="394">
        <v>685</v>
      </c>
    </row>
    <row r="22" spans="1:5" s="56" customFormat="1" ht="12.75">
      <c r="A22" s="201">
        <f t="shared" si="0"/>
        <v>10</v>
      </c>
      <c r="B22" s="201" t="s">
        <v>605</v>
      </c>
      <c r="C22" s="394">
        <v>0</v>
      </c>
      <c r="D22" s="269">
        <v>1</v>
      </c>
      <c r="E22" s="394">
        <v>1259</v>
      </c>
    </row>
    <row r="23" spans="1:5" s="56" customFormat="1" ht="12.75">
      <c r="A23" s="201">
        <f t="shared" si="0"/>
        <v>11</v>
      </c>
      <c r="B23" s="201" t="s">
        <v>635</v>
      </c>
      <c r="C23" s="394">
        <v>0</v>
      </c>
      <c r="D23" s="269">
        <v>2</v>
      </c>
      <c r="E23" s="394">
        <v>1039</v>
      </c>
    </row>
    <row r="24" spans="1:5" s="56" customFormat="1" ht="12.75">
      <c r="A24" s="201">
        <f t="shared" si="0"/>
        <v>12</v>
      </c>
      <c r="B24" s="201" t="s">
        <v>606</v>
      </c>
      <c r="C24" s="394">
        <v>1</v>
      </c>
      <c r="D24" s="269">
        <v>1</v>
      </c>
      <c r="E24" s="394">
        <v>927</v>
      </c>
    </row>
    <row r="25" spans="1:5" s="56" customFormat="1" ht="12.75">
      <c r="A25" s="201">
        <f t="shared" si="0"/>
        <v>13</v>
      </c>
      <c r="B25" s="201" t="s">
        <v>607</v>
      </c>
      <c r="C25" s="394">
        <v>0</v>
      </c>
      <c r="D25" s="269">
        <v>1</v>
      </c>
      <c r="E25" s="394">
        <v>1340</v>
      </c>
    </row>
    <row r="26" spans="1:5" s="56" customFormat="1" ht="12.75">
      <c r="A26" s="201">
        <f t="shared" si="0"/>
        <v>14</v>
      </c>
      <c r="B26" s="201" t="s">
        <v>636</v>
      </c>
      <c r="C26" s="394">
        <v>0</v>
      </c>
      <c r="D26" s="269">
        <v>1</v>
      </c>
      <c r="E26" s="394">
        <v>769</v>
      </c>
    </row>
    <row r="27" spans="1:5" s="56" customFormat="1" ht="12.75">
      <c r="A27" s="201">
        <f t="shared" si="0"/>
        <v>15</v>
      </c>
      <c r="B27" s="201" t="s">
        <v>608</v>
      </c>
      <c r="C27" s="394">
        <v>0</v>
      </c>
      <c r="D27" s="269">
        <v>1</v>
      </c>
      <c r="E27" s="394">
        <v>910</v>
      </c>
    </row>
    <row r="28" spans="1:5" s="56" customFormat="1" ht="12.75">
      <c r="A28" s="201">
        <f t="shared" si="0"/>
        <v>16</v>
      </c>
      <c r="B28" s="201" t="s">
        <v>609</v>
      </c>
      <c r="C28" s="394">
        <v>0</v>
      </c>
      <c r="D28" s="269">
        <v>1</v>
      </c>
      <c r="E28" s="394">
        <v>524</v>
      </c>
    </row>
    <row r="29" spans="1:5" s="56" customFormat="1" ht="12.75">
      <c r="A29" s="201">
        <f t="shared" si="0"/>
        <v>17</v>
      </c>
      <c r="B29" s="201" t="s">
        <v>610</v>
      </c>
      <c r="C29" s="75">
        <v>0</v>
      </c>
      <c r="D29" s="48">
        <v>1</v>
      </c>
      <c r="E29" s="394">
        <v>840</v>
      </c>
    </row>
    <row r="30" spans="1:5" ht="12.75">
      <c r="A30" s="201">
        <f t="shared" si="0"/>
        <v>18</v>
      </c>
      <c r="B30" s="201" t="s">
        <v>611</v>
      </c>
      <c r="C30" s="75">
        <v>4</v>
      </c>
      <c r="D30" s="75">
        <v>4</v>
      </c>
      <c r="E30" s="394">
        <v>1427</v>
      </c>
    </row>
    <row r="31" spans="1:5" ht="12.75">
      <c r="A31" s="201">
        <f t="shared" si="0"/>
        <v>19</v>
      </c>
      <c r="B31" s="201" t="s">
        <v>637</v>
      </c>
      <c r="C31" s="75">
        <v>0</v>
      </c>
      <c r="D31" s="75">
        <v>1</v>
      </c>
      <c r="E31" s="394">
        <v>784</v>
      </c>
    </row>
    <row r="32" spans="1:5" ht="12.75">
      <c r="A32" s="201">
        <f t="shared" si="0"/>
        <v>20</v>
      </c>
      <c r="B32" s="201" t="s">
        <v>612</v>
      </c>
      <c r="C32" s="75">
        <v>0</v>
      </c>
      <c r="D32" s="75">
        <v>1</v>
      </c>
      <c r="E32" s="394">
        <v>1200</v>
      </c>
    </row>
    <row r="33" spans="1:5" ht="12.75">
      <c r="A33" s="201">
        <f t="shared" si="0"/>
        <v>21</v>
      </c>
      <c r="B33" s="201" t="s">
        <v>613</v>
      </c>
      <c r="C33" s="75">
        <v>0</v>
      </c>
      <c r="D33" s="75">
        <v>12</v>
      </c>
      <c r="E33" s="394">
        <v>554</v>
      </c>
    </row>
    <row r="34" spans="1:5" ht="15.75" customHeight="1">
      <c r="A34" s="201">
        <f t="shared" si="0"/>
        <v>22</v>
      </c>
      <c r="B34" s="201" t="s">
        <v>614</v>
      </c>
      <c r="C34" s="339">
        <v>0</v>
      </c>
      <c r="D34" s="75">
        <v>1</v>
      </c>
      <c r="E34" s="394">
        <v>500</v>
      </c>
    </row>
    <row r="35" spans="1:5" ht="12.75" customHeight="1">
      <c r="A35" s="201">
        <f t="shared" si="0"/>
        <v>23</v>
      </c>
      <c r="B35" s="201" t="s">
        <v>615</v>
      </c>
      <c r="C35" s="75">
        <v>0</v>
      </c>
      <c r="D35" s="75">
        <v>1</v>
      </c>
      <c r="E35" s="394">
        <v>1333</v>
      </c>
    </row>
    <row r="36" spans="1:5" ht="12.75" customHeight="1">
      <c r="A36" s="201">
        <f t="shared" si="0"/>
        <v>24</v>
      </c>
      <c r="B36" s="201" t="s">
        <v>616</v>
      </c>
      <c r="C36" s="75">
        <v>0</v>
      </c>
      <c r="D36" s="75">
        <v>1</v>
      </c>
      <c r="E36" s="394">
        <v>1288</v>
      </c>
    </row>
    <row r="37" spans="1:5" ht="12.75">
      <c r="A37" s="201">
        <f t="shared" si="0"/>
        <v>25</v>
      </c>
      <c r="B37" s="201" t="s">
        <v>617</v>
      </c>
      <c r="C37" s="75">
        <v>0</v>
      </c>
      <c r="D37" s="75">
        <v>1</v>
      </c>
      <c r="E37" s="394">
        <v>994</v>
      </c>
    </row>
    <row r="38" spans="1:5" ht="12.75">
      <c r="A38" s="201">
        <f t="shared" si="0"/>
        <v>26</v>
      </c>
      <c r="B38" s="201" t="s">
        <v>618</v>
      </c>
      <c r="C38" s="75">
        <v>2</v>
      </c>
      <c r="D38" s="75">
        <v>1</v>
      </c>
      <c r="E38" s="394">
        <v>971</v>
      </c>
    </row>
    <row r="39" spans="1:5" ht="12.75">
      <c r="A39" s="201">
        <f t="shared" si="0"/>
        <v>27</v>
      </c>
      <c r="B39" s="201" t="s">
        <v>619</v>
      </c>
      <c r="C39" s="75">
        <v>0</v>
      </c>
      <c r="D39" s="75">
        <v>1</v>
      </c>
      <c r="E39" s="394">
        <v>1034</v>
      </c>
    </row>
    <row r="40" spans="1:5" ht="12.75">
      <c r="A40" s="201">
        <f t="shared" si="0"/>
        <v>28</v>
      </c>
      <c r="B40" s="143" t="s">
        <v>620</v>
      </c>
      <c r="C40" s="75">
        <v>0</v>
      </c>
      <c r="D40" s="75">
        <v>1</v>
      </c>
      <c r="E40" s="394">
        <v>514</v>
      </c>
    </row>
    <row r="41" spans="1:5" ht="12.75">
      <c r="A41" s="201">
        <f t="shared" si="0"/>
        <v>29</v>
      </c>
      <c r="B41" s="143" t="s">
        <v>621</v>
      </c>
      <c r="C41" s="75">
        <v>0</v>
      </c>
      <c r="D41" s="75">
        <v>1</v>
      </c>
      <c r="E41" s="394">
        <v>654</v>
      </c>
    </row>
    <row r="42" spans="1:5" ht="12.75">
      <c r="A42" s="201">
        <f t="shared" si="0"/>
        <v>30</v>
      </c>
      <c r="B42" s="143" t="s">
        <v>622</v>
      </c>
      <c r="C42" s="75">
        <v>0</v>
      </c>
      <c r="D42" s="75">
        <v>1</v>
      </c>
      <c r="E42" s="394">
        <v>525</v>
      </c>
    </row>
    <row r="43" spans="1:5" ht="12.75">
      <c r="A43" s="201">
        <f t="shared" si="0"/>
        <v>31</v>
      </c>
      <c r="B43" s="143" t="s">
        <v>623</v>
      </c>
      <c r="C43" s="75">
        <v>0</v>
      </c>
      <c r="D43" s="75">
        <v>1</v>
      </c>
      <c r="E43" s="394">
        <v>678</v>
      </c>
    </row>
    <row r="44" spans="1:5" ht="12.75">
      <c r="A44" s="150"/>
      <c r="B44" s="150" t="s">
        <v>624</v>
      </c>
      <c r="C44" s="150">
        <f>SUM(C13:C43)</f>
        <v>10</v>
      </c>
      <c r="D44" s="150">
        <f>SUM(D13:D43)</f>
        <v>48</v>
      </c>
      <c r="E44" s="150">
        <f>SUM(E13:E43)</f>
        <v>27732</v>
      </c>
    </row>
    <row r="45" ht="12.75">
      <c r="E45" s="18"/>
    </row>
    <row r="46" ht="12.75">
      <c r="E46" s="3"/>
    </row>
    <row r="47" spans="6:8" ht="12.75">
      <c r="F47" s="559"/>
      <c r="G47" s="559"/>
      <c r="H47" s="559"/>
    </row>
    <row r="48" spans="4:5" ht="15.75">
      <c r="D48" s="621" t="s">
        <v>860</v>
      </c>
      <c r="E48" s="621"/>
    </row>
    <row r="49" spans="3:5" ht="15.75">
      <c r="C49" s="277"/>
      <c r="D49" s="621" t="s">
        <v>653</v>
      </c>
      <c r="E49" s="621"/>
    </row>
  </sheetData>
  <sheetProtection/>
  <mergeCells count="9">
    <mergeCell ref="D49:E49"/>
    <mergeCell ref="D48:E48"/>
    <mergeCell ref="A2:E2"/>
    <mergeCell ref="A5:E5"/>
    <mergeCell ref="F47:H47"/>
    <mergeCell ref="C10:E10"/>
    <mergeCell ref="D9:E9"/>
    <mergeCell ref="B10:B11"/>
    <mergeCell ref="A10:A11"/>
  </mergeCells>
  <printOptions horizontalCentered="1"/>
  <pageMargins left="0.49" right="0.55" top="0.44" bottom="0" header="0.31496062992125984" footer="0.31496062992125984"/>
  <pageSetup fitToHeight="1" fitToWidth="1" horizontalDpi="600" verticalDpi="600" orientation="landscape" paperSize="9" scale="75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55" zoomScaleNormal="70" zoomScaleSheetLayoutView="55" zoomScalePageLayoutView="0" workbookViewId="0" topLeftCell="A6">
      <selection activeCell="P23" sqref="P23"/>
    </sheetView>
  </sheetViews>
  <sheetFormatPr defaultColWidth="9.140625" defaultRowHeight="12.75"/>
  <cols>
    <col min="1" max="1" width="8.28125" style="6" customWidth="1"/>
    <col min="2" max="2" width="21.8515625" style="6" customWidth="1"/>
    <col min="3" max="3" width="14.28125" style="6" customWidth="1"/>
    <col min="4" max="5" width="13.57421875" style="6" customWidth="1"/>
    <col min="6" max="7" width="12.8515625" style="6" customWidth="1"/>
    <col min="8" max="8" width="15.28125" style="6" customWidth="1"/>
    <col min="9" max="9" width="49.57421875" style="6" customWidth="1"/>
    <col min="10" max="10" width="13.28125" style="6" customWidth="1"/>
    <col min="11" max="16384" width="9.140625" style="6" customWidth="1"/>
  </cols>
  <sheetData>
    <row r="1" spans="9:10" ht="15">
      <c r="I1" s="723" t="s">
        <v>587</v>
      </c>
      <c r="J1" s="723"/>
    </row>
    <row r="2" spans="1:11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49"/>
    </row>
    <row r="3" spans="1:11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26"/>
    </row>
    <row r="4" spans="3:11" ht="20.25">
      <c r="C4" s="156"/>
      <c r="D4" s="156"/>
      <c r="E4" s="156"/>
      <c r="F4" s="156"/>
      <c r="G4" s="156"/>
      <c r="H4" s="156"/>
      <c r="I4" s="156"/>
      <c r="J4" s="26"/>
      <c r="K4" s="26"/>
    </row>
    <row r="5" spans="1:10" ht="20.25" customHeight="1">
      <c r="A5" s="732" t="s">
        <v>729</v>
      </c>
      <c r="B5" s="732"/>
      <c r="C5" s="732"/>
      <c r="D5" s="732"/>
      <c r="E5" s="732"/>
      <c r="F5" s="732"/>
      <c r="G5" s="732"/>
      <c r="H5" s="732"/>
      <c r="I5" s="732"/>
      <c r="J5" s="732"/>
    </row>
    <row r="6" spans="1:10" ht="20.25" customHeight="1">
      <c r="A6" s="5" t="s">
        <v>670</v>
      </c>
      <c r="C6" s="204"/>
      <c r="D6" s="204"/>
      <c r="E6" s="204"/>
      <c r="F6" s="204"/>
      <c r="G6" s="204"/>
      <c r="H6" s="204"/>
      <c r="I6" s="725"/>
      <c r="J6" s="725"/>
    </row>
    <row r="7" spans="1:10" ht="15" customHeight="1">
      <c r="A7" s="733" t="s">
        <v>70</v>
      </c>
      <c r="B7" s="733" t="s">
        <v>33</v>
      </c>
      <c r="C7" s="724" t="s">
        <v>402</v>
      </c>
      <c r="D7" s="724" t="s">
        <v>381</v>
      </c>
      <c r="E7" s="726" t="s">
        <v>451</v>
      </c>
      <c r="F7" s="724" t="s">
        <v>380</v>
      </c>
      <c r="G7" s="724"/>
      <c r="H7" s="724"/>
      <c r="I7" s="729" t="s">
        <v>406</v>
      </c>
      <c r="J7" s="726" t="s">
        <v>407</v>
      </c>
    </row>
    <row r="8" spans="1:10" ht="12.75" customHeight="1">
      <c r="A8" s="733"/>
      <c r="B8" s="733"/>
      <c r="C8" s="724"/>
      <c r="D8" s="724"/>
      <c r="E8" s="727"/>
      <c r="F8" s="724" t="s">
        <v>403</v>
      </c>
      <c r="G8" s="726" t="s">
        <v>404</v>
      </c>
      <c r="H8" s="724" t="s">
        <v>405</v>
      </c>
      <c r="I8" s="730"/>
      <c r="J8" s="727"/>
    </row>
    <row r="9" spans="1:10" ht="20.25" customHeight="1">
      <c r="A9" s="733"/>
      <c r="B9" s="733"/>
      <c r="C9" s="724"/>
      <c r="D9" s="724"/>
      <c r="E9" s="727"/>
      <c r="F9" s="724"/>
      <c r="G9" s="727"/>
      <c r="H9" s="724"/>
      <c r="I9" s="730"/>
      <c r="J9" s="727"/>
    </row>
    <row r="10" spans="1:10" ht="63.75" customHeight="1">
      <c r="A10" s="733"/>
      <c r="B10" s="733"/>
      <c r="C10" s="724"/>
      <c r="D10" s="724"/>
      <c r="E10" s="728"/>
      <c r="F10" s="724"/>
      <c r="G10" s="728"/>
      <c r="H10" s="724"/>
      <c r="I10" s="731"/>
      <c r="J10" s="728"/>
    </row>
    <row r="11" spans="1:10" ht="14.25">
      <c r="A11" s="205">
        <v>1</v>
      </c>
      <c r="B11" s="205">
        <v>2</v>
      </c>
      <c r="C11" s="206">
        <v>3</v>
      </c>
      <c r="D11" s="205">
        <v>4</v>
      </c>
      <c r="E11" s="206">
        <v>5</v>
      </c>
      <c r="F11" s="205">
        <v>6</v>
      </c>
      <c r="G11" s="206">
        <v>7</v>
      </c>
      <c r="H11" s="205">
        <v>8</v>
      </c>
      <c r="I11" s="206">
        <v>9</v>
      </c>
      <c r="J11" s="205">
        <v>10</v>
      </c>
    </row>
    <row r="12" spans="1:10" ht="38.25">
      <c r="A12" s="271">
        <v>1</v>
      </c>
      <c r="B12" s="271" t="s">
        <v>633</v>
      </c>
      <c r="C12" s="363">
        <v>1</v>
      </c>
      <c r="D12" s="474">
        <v>6</v>
      </c>
      <c r="E12" s="431">
        <v>101424</v>
      </c>
      <c r="F12" s="474" t="s">
        <v>689</v>
      </c>
      <c r="G12" s="363">
        <v>0</v>
      </c>
      <c r="H12" s="474">
        <v>0</v>
      </c>
      <c r="I12" s="475" t="s">
        <v>844</v>
      </c>
      <c r="J12" s="431">
        <v>101424</v>
      </c>
    </row>
    <row r="13" spans="1:10" ht="38.25">
      <c r="A13" s="271">
        <v>2</v>
      </c>
      <c r="B13" s="271" t="s">
        <v>634</v>
      </c>
      <c r="C13" s="363">
        <v>1</v>
      </c>
      <c r="D13" s="474">
        <v>6</v>
      </c>
      <c r="E13" s="431">
        <v>101424</v>
      </c>
      <c r="F13" s="474" t="s">
        <v>689</v>
      </c>
      <c r="G13" s="363">
        <v>0</v>
      </c>
      <c r="H13" s="474">
        <v>0</v>
      </c>
      <c r="I13" s="475" t="s">
        <v>843</v>
      </c>
      <c r="J13" s="431">
        <v>101424</v>
      </c>
    </row>
    <row r="14" spans="1:10" ht="38.25">
      <c r="A14" s="271">
        <v>3</v>
      </c>
      <c r="B14" s="271" t="s">
        <v>599</v>
      </c>
      <c r="C14" s="363">
        <v>1</v>
      </c>
      <c r="D14" s="474">
        <v>6</v>
      </c>
      <c r="E14" s="431">
        <v>101424</v>
      </c>
      <c r="F14" s="474" t="s">
        <v>689</v>
      </c>
      <c r="G14" s="363">
        <v>0</v>
      </c>
      <c r="H14" s="474">
        <v>0</v>
      </c>
      <c r="I14" s="475" t="s">
        <v>855</v>
      </c>
      <c r="J14" s="431">
        <v>101424</v>
      </c>
    </row>
    <row r="15" spans="1:10" ht="38.25">
      <c r="A15" s="271">
        <v>4</v>
      </c>
      <c r="B15" s="271" t="s">
        <v>601</v>
      </c>
      <c r="C15" s="363">
        <v>1</v>
      </c>
      <c r="D15" s="474">
        <v>6</v>
      </c>
      <c r="E15" s="431">
        <v>101424</v>
      </c>
      <c r="F15" s="474" t="s">
        <v>689</v>
      </c>
      <c r="G15" s="363">
        <v>0</v>
      </c>
      <c r="H15" s="474">
        <v>0</v>
      </c>
      <c r="I15" s="475" t="s">
        <v>856</v>
      </c>
      <c r="J15" s="431">
        <v>101424</v>
      </c>
    </row>
    <row r="16" spans="1:10" ht="38.25">
      <c r="A16" s="271">
        <v>5</v>
      </c>
      <c r="B16" s="271" t="s">
        <v>602</v>
      </c>
      <c r="C16" s="363">
        <v>1</v>
      </c>
      <c r="D16" s="474">
        <v>6</v>
      </c>
      <c r="E16" s="431">
        <v>101424</v>
      </c>
      <c r="F16" s="474" t="s">
        <v>689</v>
      </c>
      <c r="G16" s="363">
        <v>0</v>
      </c>
      <c r="H16" s="474">
        <v>0</v>
      </c>
      <c r="I16" s="475" t="s">
        <v>845</v>
      </c>
      <c r="J16" s="431">
        <v>101424</v>
      </c>
    </row>
    <row r="17" spans="1:10" ht="38.25">
      <c r="A17" s="271">
        <v>6</v>
      </c>
      <c r="B17" s="271" t="s">
        <v>635</v>
      </c>
      <c r="C17" s="363">
        <v>1</v>
      </c>
      <c r="D17" s="474">
        <v>6</v>
      </c>
      <c r="E17" s="431">
        <v>101424</v>
      </c>
      <c r="F17" s="474" t="s">
        <v>689</v>
      </c>
      <c r="G17" s="363">
        <v>0</v>
      </c>
      <c r="H17" s="474">
        <v>0</v>
      </c>
      <c r="I17" s="475" t="s">
        <v>857</v>
      </c>
      <c r="J17" s="431">
        <v>101424</v>
      </c>
    </row>
    <row r="18" spans="1:10" ht="38.25">
      <c r="A18" s="271">
        <v>7</v>
      </c>
      <c r="B18" s="271" t="s">
        <v>616</v>
      </c>
      <c r="C18" s="363">
        <v>1</v>
      </c>
      <c r="D18" s="474">
        <v>6</v>
      </c>
      <c r="E18" s="431">
        <v>101424</v>
      </c>
      <c r="F18" s="474" t="s">
        <v>689</v>
      </c>
      <c r="G18" s="363">
        <v>0</v>
      </c>
      <c r="H18" s="474">
        <v>0</v>
      </c>
      <c r="I18" s="475" t="s">
        <v>846</v>
      </c>
      <c r="J18" s="431">
        <v>101424</v>
      </c>
    </row>
    <row r="19" spans="1:10" ht="38.25">
      <c r="A19" s="271">
        <v>8</v>
      </c>
      <c r="B19" s="271" t="s">
        <v>618</v>
      </c>
      <c r="C19" s="432">
        <v>1</v>
      </c>
      <c r="D19" s="474">
        <v>6</v>
      </c>
      <c r="E19" s="431">
        <v>101424</v>
      </c>
      <c r="F19" s="474" t="s">
        <v>689</v>
      </c>
      <c r="G19" s="363">
        <v>0</v>
      </c>
      <c r="H19" s="474">
        <v>0</v>
      </c>
      <c r="I19" s="475" t="s">
        <v>847</v>
      </c>
      <c r="J19" s="431">
        <v>101424</v>
      </c>
    </row>
    <row r="20" spans="1:10" ht="38.25">
      <c r="A20" s="271">
        <v>9</v>
      </c>
      <c r="B20" s="271" t="s">
        <v>619</v>
      </c>
      <c r="C20" s="432">
        <v>1</v>
      </c>
      <c r="D20" s="474">
        <v>6</v>
      </c>
      <c r="E20" s="431">
        <v>101424</v>
      </c>
      <c r="F20" s="474" t="s">
        <v>689</v>
      </c>
      <c r="G20" s="363">
        <v>0</v>
      </c>
      <c r="H20" s="474">
        <v>0</v>
      </c>
      <c r="I20" s="475" t="s">
        <v>858</v>
      </c>
      <c r="J20" s="431">
        <v>101424</v>
      </c>
    </row>
    <row r="21" spans="1:10" ht="38.25">
      <c r="A21" s="271">
        <v>10</v>
      </c>
      <c r="B21" s="75" t="s">
        <v>623</v>
      </c>
      <c r="C21" s="473">
        <v>1</v>
      </c>
      <c r="D21" s="474">
        <v>6</v>
      </c>
      <c r="E21" s="431">
        <v>101424</v>
      </c>
      <c r="F21" s="474" t="s">
        <v>689</v>
      </c>
      <c r="G21" s="363">
        <v>0</v>
      </c>
      <c r="H21" s="474">
        <v>0</v>
      </c>
      <c r="I21" s="475" t="s">
        <v>859</v>
      </c>
      <c r="J21" s="431">
        <v>101424</v>
      </c>
    </row>
    <row r="22" spans="1:10" ht="12.75">
      <c r="A22" s="150"/>
      <c r="B22" s="150" t="s">
        <v>624</v>
      </c>
      <c r="C22" s="293">
        <f>SUM(C12:C21)</f>
        <v>10</v>
      </c>
      <c r="D22" s="293">
        <f>SUM(D12:D21)</f>
        <v>60</v>
      </c>
      <c r="E22" s="362">
        <f>SUM(E12:E21)</f>
        <v>1014240</v>
      </c>
      <c r="F22" s="293"/>
      <c r="G22" s="293">
        <f>SUM(G12:G21)</f>
        <v>0</v>
      </c>
      <c r="H22" s="293">
        <f>SUM(H12:H21)</f>
        <v>0</v>
      </c>
      <c r="I22" s="293">
        <f>SUM(I12:I21)</f>
        <v>0</v>
      </c>
      <c r="J22" s="362">
        <f>SUM(J12:J21)</f>
        <v>1014240</v>
      </c>
    </row>
    <row r="23" spans="1:10" ht="12.75">
      <c r="A23" s="196"/>
      <c r="B23" s="196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96"/>
      <c r="B24" s="196"/>
      <c r="C24" s="10"/>
      <c r="D24" s="10"/>
      <c r="E24" s="10"/>
      <c r="F24" s="10"/>
      <c r="G24" s="10"/>
      <c r="H24" s="10"/>
      <c r="I24" s="10"/>
      <c r="J24" s="10"/>
    </row>
    <row r="27" spans="7:10" ht="15.75">
      <c r="G27" s="621" t="s">
        <v>860</v>
      </c>
      <c r="H27" s="621"/>
      <c r="I27" s="621"/>
      <c r="J27" s="621"/>
    </row>
    <row r="28" spans="7:10" ht="15.75">
      <c r="G28" s="621" t="s">
        <v>653</v>
      </c>
      <c r="H28" s="621"/>
      <c r="I28" s="621"/>
      <c r="J28" s="621"/>
    </row>
  </sheetData>
  <sheetProtection/>
  <mergeCells count="18">
    <mergeCell ref="G27:J27"/>
    <mergeCell ref="G28:J28"/>
    <mergeCell ref="A2:J2"/>
    <mergeCell ref="A3:J3"/>
    <mergeCell ref="A5:J5"/>
    <mergeCell ref="A7:A10"/>
    <mergeCell ref="B7:B10"/>
    <mergeCell ref="C7:C10"/>
    <mergeCell ref="I1:J1"/>
    <mergeCell ref="D7:D10"/>
    <mergeCell ref="I6:J6"/>
    <mergeCell ref="J7:J10"/>
    <mergeCell ref="F8:F10"/>
    <mergeCell ref="G8:G10"/>
    <mergeCell ref="H8:H10"/>
    <mergeCell ref="I7:I10"/>
    <mergeCell ref="E7:E10"/>
    <mergeCell ref="F7:H7"/>
  </mergeCells>
  <printOptions horizontalCentered="1"/>
  <pageMargins left="0.27" right="0.29" top="0.42" bottom="0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55" zoomScaleNormal="70" zoomScaleSheetLayoutView="55" zoomScalePageLayoutView="0" workbookViewId="0" topLeftCell="A1">
      <selection activeCell="R41" sqref="R41"/>
    </sheetView>
  </sheetViews>
  <sheetFormatPr defaultColWidth="9.140625" defaultRowHeight="12.75"/>
  <cols>
    <col min="1" max="1" width="9.28125" style="5" customWidth="1"/>
    <col min="2" max="3" width="8.57421875" style="5" customWidth="1"/>
    <col min="4" max="4" width="12.00390625" style="5" customWidth="1"/>
    <col min="5" max="5" width="8.57421875" style="5" customWidth="1"/>
    <col min="6" max="6" width="9.57421875" style="5" customWidth="1"/>
    <col min="7" max="7" width="8.57421875" style="5" customWidth="1"/>
    <col min="8" max="8" width="11.7109375" style="5" customWidth="1"/>
    <col min="9" max="15" width="8.57421875" style="5" customWidth="1"/>
    <col min="16" max="16" width="8.421875" style="5" customWidth="1"/>
    <col min="17" max="19" width="8.57421875" style="5" customWidth="1"/>
    <col min="20" max="20" width="9.7109375" style="5" customWidth="1"/>
    <col min="21" max="16384" width="9.140625" style="5" customWidth="1"/>
  </cols>
  <sheetData>
    <row r="1" spans="1:19" ht="12.75">
      <c r="A1" s="5" t="s">
        <v>11</v>
      </c>
      <c r="H1" s="560"/>
      <c r="I1" s="560"/>
      <c r="R1" s="558" t="s">
        <v>52</v>
      </c>
      <c r="S1" s="558"/>
    </row>
    <row r="2" spans="1:20" s="4" customFormat="1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</row>
    <row r="3" spans="1:20" s="4" customFormat="1" ht="20.25" customHeight="1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</row>
    <row r="5" spans="1:20" s="4" customFormat="1" ht="15.75">
      <c r="A5" s="564" t="s">
        <v>698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</row>
    <row r="6" spans="1:2" ht="12.75">
      <c r="A6" s="21" t="s">
        <v>665</v>
      </c>
      <c r="B6" s="21"/>
    </row>
    <row r="7" spans="1:19" ht="12.75">
      <c r="A7" s="559" t="s">
        <v>164</v>
      </c>
      <c r="B7" s="559"/>
      <c r="C7" s="559"/>
      <c r="D7" s="559"/>
      <c r="E7" s="559"/>
      <c r="F7" s="559"/>
      <c r="G7" s="559"/>
      <c r="H7" s="559"/>
      <c r="I7" s="559"/>
      <c r="R7" s="18"/>
      <c r="S7" s="18"/>
    </row>
    <row r="9" spans="1:12" ht="18" customHeight="1">
      <c r="A9" s="1"/>
      <c r="B9" s="530" t="s">
        <v>39</v>
      </c>
      <c r="C9" s="530"/>
      <c r="D9" s="530" t="s">
        <v>40</v>
      </c>
      <c r="E9" s="530"/>
      <c r="F9" s="530" t="s">
        <v>41</v>
      </c>
      <c r="G9" s="530"/>
      <c r="H9" s="561" t="s">
        <v>42</v>
      </c>
      <c r="I9" s="561"/>
      <c r="J9" s="530" t="s">
        <v>43</v>
      </c>
      <c r="K9" s="530"/>
      <c r="L9" s="14" t="s">
        <v>16</v>
      </c>
    </row>
    <row r="10" spans="1:12" s="33" customFormat="1" ht="13.5" customHeight="1">
      <c r="A10" s="149">
        <v>1</v>
      </c>
      <c r="B10" s="545">
        <v>2</v>
      </c>
      <c r="C10" s="545"/>
      <c r="D10" s="545">
        <v>3</v>
      </c>
      <c r="E10" s="545"/>
      <c r="F10" s="545">
        <v>4</v>
      </c>
      <c r="G10" s="545"/>
      <c r="H10" s="545">
        <v>5</v>
      </c>
      <c r="I10" s="545"/>
      <c r="J10" s="545">
        <v>6</v>
      </c>
      <c r="K10" s="545"/>
      <c r="L10" s="149">
        <v>7</v>
      </c>
    </row>
    <row r="11" spans="1:12" ht="12.75">
      <c r="A11" s="144" t="s">
        <v>44</v>
      </c>
      <c r="B11" s="533">
        <v>1530</v>
      </c>
      <c r="C11" s="534"/>
      <c r="D11" s="533">
        <v>1116</v>
      </c>
      <c r="E11" s="534"/>
      <c r="F11" s="533">
        <v>3156</v>
      </c>
      <c r="G11" s="534"/>
      <c r="H11" s="533">
        <v>782</v>
      </c>
      <c r="I11" s="534"/>
      <c r="J11" s="533">
        <v>424</v>
      </c>
      <c r="K11" s="534"/>
      <c r="L11" s="143">
        <f>SUM(B11:K11)</f>
        <v>7008</v>
      </c>
    </row>
    <row r="12" spans="1:12" ht="12.75">
      <c r="A12" s="144" t="s">
        <v>45</v>
      </c>
      <c r="B12" s="533">
        <v>11096</v>
      </c>
      <c r="C12" s="534"/>
      <c r="D12" s="533">
        <v>8932</v>
      </c>
      <c r="E12" s="534"/>
      <c r="F12" s="533">
        <v>23030</v>
      </c>
      <c r="G12" s="534"/>
      <c r="H12" s="533">
        <v>2555</v>
      </c>
      <c r="I12" s="534"/>
      <c r="J12" s="533">
        <v>1611</v>
      </c>
      <c r="K12" s="534"/>
      <c r="L12" s="143">
        <f>SUM(B12:K12)</f>
        <v>47224</v>
      </c>
    </row>
    <row r="13" spans="1:12" ht="12.75">
      <c r="A13" s="144" t="s">
        <v>16</v>
      </c>
      <c r="B13" s="555">
        <f>SUM(B11:C12)</f>
        <v>12626</v>
      </c>
      <c r="C13" s="555"/>
      <c r="D13" s="555">
        <f>SUM(D11:E12)</f>
        <v>10048</v>
      </c>
      <c r="E13" s="555"/>
      <c r="F13" s="555">
        <f>SUM(F11:G12)</f>
        <v>26186</v>
      </c>
      <c r="G13" s="555"/>
      <c r="H13" s="555">
        <f>SUM(H11:I12)</f>
        <v>3337</v>
      </c>
      <c r="I13" s="555"/>
      <c r="J13" s="555">
        <f>SUM(J11:K12)</f>
        <v>2035</v>
      </c>
      <c r="K13" s="555"/>
      <c r="L13" s="144">
        <f>SUM(L11:L12)</f>
        <v>54232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68" t="s">
        <v>420</v>
      </c>
      <c r="B15" s="568"/>
      <c r="C15" s="568"/>
      <c r="D15" s="568"/>
      <c r="E15" s="568"/>
      <c r="F15" s="568"/>
      <c r="G15" s="568"/>
      <c r="H15" s="3"/>
      <c r="I15" s="3"/>
      <c r="J15" s="3"/>
      <c r="K15" s="3"/>
      <c r="L15" s="3"/>
    </row>
    <row r="16" spans="1:12" ht="12.75" customHeight="1">
      <c r="A16" s="570" t="s">
        <v>173</v>
      </c>
      <c r="B16" s="571"/>
      <c r="C16" s="569" t="s">
        <v>201</v>
      </c>
      <c r="D16" s="569"/>
      <c r="E16" s="144" t="s">
        <v>16</v>
      </c>
      <c r="I16" s="3"/>
      <c r="J16" s="3"/>
      <c r="K16" s="3"/>
      <c r="L16" s="3"/>
    </row>
    <row r="17" spans="1:12" ht="12.75">
      <c r="A17" s="541">
        <v>600</v>
      </c>
      <c r="B17" s="542"/>
      <c r="C17" s="541">
        <v>400</v>
      </c>
      <c r="D17" s="542"/>
      <c r="E17" s="144">
        <v>1000</v>
      </c>
      <c r="I17" s="3"/>
      <c r="J17" s="3"/>
      <c r="K17" s="3"/>
      <c r="L17" s="3"/>
    </row>
    <row r="18" spans="1:12" ht="12.75">
      <c r="A18" s="160"/>
      <c r="B18" s="160"/>
      <c r="C18" s="160"/>
      <c r="D18" s="160"/>
      <c r="E18" s="160"/>
      <c r="F18" s="160"/>
      <c r="G18" s="160"/>
      <c r="H18" s="3"/>
      <c r="I18" s="3"/>
      <c r="J18" s="3"/>
      <c r="K18" s="3"/>
      <c r="L18" s="3"/>
    </row>
    <row r="20" spans="1:19" ht="18.75" customHeight="1">
      <c r="A20" s="565" t="s">
        <v>165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</row>
    <row r="21" spans="1:20" ht="12.75">
      <c r="A21" s="530" t="s">
        <v>20</v>
      </c>
      <c r="B21" s="530" t="s">
        <v>46</v>
      </c>
      <c r="C21" s="530"/>
      <c r="D21" s="530"/>
      <c r="E21" s="554" t="s">
        <v>21</v>
      </c>
      <c r="F21" s="554"/>
      <c r="G21" s="554"/>
      <c r="H21" s="554"/>
      <c r="I21" s="554"/>
      <c r="J21" s="554"/>
      <c r="K21" s="554"/>
      <c r="L21" s="554"/>
      <c r="M21" s="555" t="s">
        <v>22</v>
      </c>
      <c r="N21" s="555"/>
      <c r="O21" s="555"/>
      <c r="P21" s="555"/>
      <c r="Q21" s="555"/>
      <c r="R21" s="555"/>
      <c r="S21" s="555"/>
      <c r="T21" s="555"/>
    </row>
    <row r="22" spans="1:20" ht="33.75" customHeight="1">
      <c r="A22" s="530"/>
      <c r="B22" s="530"/>
      <c r="C22" s="530"/>
      <c r="D22" s="530"/>
      <c r="E22" s="537" t="s">
        <v>129</v>
      </c>
      <c r="F22" s="539"/>
      <c r="G22" s="537" t="s">
        <v>166</v>
      </c>
      <c r="H22" s="539"/>
      <c r="I22" s="530" t="s">
        <v>47</v>
      </c>
      <c r="J22" s="530"/>
      <c r="K22" s="537" t="s">
        <v>89</v>
      </c>
      <c r="L22" s="539"/>
      <c r="M22" s="537" t="s">
        <v>90</v>
      </c>
      <c r="N22" s="539"/>
      <c r="O22" s="537" t="s">
        <v>166</v>
      </c>
      <c r="P22" s="539"/>
      <c r="Q22" s="530" t="s">
        <v>47</v>
      </c>
      <c r="R22" s="530"/>
      <c r="S22" s="530" t="s">
        <v>89</v>
      </c>
      <c r="T22" s="530"/>
    </row>
    <row r="23" spans="1:20" s="33" customFormat="1" ht="15.75" customHeight="1">
      <c r="A23" s="149">
        <v>1</v>
      </c>
      <c r="B23" s="546">
        <v>2</v>
      </c>
      <c r="C23" s="547"/>
      <c r="D23" s="548"/>
      <c r="E23" s="546">
        <v>3</v>
      </c>
      <c r="F23" s="548"/>
      <c r="G23" s="546">
        <v>4</v>
      </c>
      <c r="H23" s="548"/>
      <c r="I23" s="545">
        <v>5</v>
      </c>
      <c r="J23" s="545"/>
      <c r="K23" s="545">
        <v>6</v>
      </c>
      <c r="L23" s="545"/>
      <c r="M23" s="546">
        <v>3</v>
      </c>
      <c r="N23" s="548"/>
      <c r="O23" s="546">
        <v>4</v>
      </c>
      <c r="P23" s="548"/>
      <c r="Q23" s="545">
        <v>5</v>
      </c>
      <c r="R23" s="545"/>
      <c r="S23" s="545">
        <v>6</v>
      </c>
      <c r="T23" s="545"/>
    </row>
    <row r="24" spans="1:20" ht="27.75" customHeight="1">
      <c r="A24" s="159">
        <v>1</v>
      </c>
      <c r="B24" s="549" t="s">
        <v>482</v>
      </c>
      <c r="C24" s="550"/>
      <c r="D24" s="551"/>
      <c r="E24" s="552">
        <v>100</v>
      </c>
      <c r="F24" s="553"/>
      <c r="G24" s="556" t="s">
        <v>347</v>
      </c>
      <c r="H24" s="557"/>
      <c r="I24" s="552">
        <v>346</v>
      </c>
      <c r="J24" s="553"/>
      <c r="K24" s="552">
        <v>6</v>
      </c>
      <c r="L24" s="553"/>
      <c r="M24" s="552">
        <v>150</v>
      </c>
      <c r="N24" s="553"/>
      <c r="O24" s="556" t="s">
        <v>347</v>
      </c>
      <c r="P24" s="557"/>
      <c r="Q24" s="552">
        <v>519</v>
      </c>
      <c r="R24" s="553"/>
      <c r="S24" s="552">
        <v>12</v>
      </c>
      <c r="T24" s="553"/>
    </row>
    <row r="25" spans="1:23" ht="12.75">
      <c r="A25" s="159">
        <v>2</v>
      </c>
      <c r="B25" s="527" t="s">
        <v>48</v>
      </c>
      <c r="C25" s="528"/>
      <c r="D25" s="529"/>
      <c r="E25" s="533">
        <v>20</v>
      </c>
      <c r="F25" s="534"/>
      <c r="G25" s="535">
        <v>1.45</v>
      </c>
      <c r="H25" s="536"/>
      <c r="I25" s="533">
        <v>67</v>
      </c>
      <c r="J25" s="534"/>
      <c r="K25" s="533">
        <v>4</v>
      </c>
      <c r="L25" s="534"/>
      <c r="M25" s="533">
        <v>30</v>
      </c>
      <c r="N25" s="534"/>
      <c r="O25" s="535">
        <v>2.11</v>
      </c>
      <c r="P25" s="536"/>
      <c r="Q25" s="533">
        <v>100</v>
      </c>
      <c r="R25" s="534"/>
      <c r="S25" s="533">
        <v>4</v>
      </c>
      <c r="T25" s="534"/>
      <c r="V25" s="337"/>
      <c r="W25" s="337"/>
    </row>
    <row r="26" spans="1:23" ht="12.75">
      <c r="A26" s="159">
        <v>3</v>
      </c>
      <c r="B26" s="527" t="s">
        <v>167</v>
      </c>
      <c r="C26" s="528"/>
      <c r="D26" s="529"/>
      <c r="E26" s="533">
        <v>50</v>
      </c>
      <c r="F26" s="534"/>
      <c r="G26" s="535">
        <v>0.97</v>
      </c>
      <c r="H26" s="536"/>
      <c r="I26" s="566">
        <v>13</v>
      </c>
      <c r="J26" s="567"/>
      <c r="K26" s="566">
        <v>0</v>
      </c>
      <c r="L26" s="567"/>
      <c r="M26" s="566">
        <v>75</v>
      </c>
      <c r="N26" s="567"/>
      <c r="O26" s="572">
        <v>1.56</v>
      </c>
      <c r="P26" s="573"/>
      <c r="Q26" s="566">
        <v>20</v>
      </c>
      <c r="R26" s="567"/>
      <c r="S26" s="566">
        <v>0</v>
      </c>
      <c r="T26" s="567"/>
      <c r="V26" s="337"/>
      <c r="W26" s="337"/>
    </row>
    <row r="27" spans="1:23" ht="12.75">
      <c r="A27" s="159">
        <v>4</v>
      </c>
      <c r="B27" s="527" t="s">
        <v>49</v>
      </c>
      <c r="C27" s="528"/>
      <c r="D27" s="529"/>
      <c r="E27" s="533">
        <v>5</v>
      </c>
      <c r="F27" s="534"/>
      <c r="G27" s="535">
        <v>0.61</v>
      </c>
      <c r="H27" s="536"/>
      <c r="I27" s="566">
        <v>45</v>
      </c>
      <c r="J27" s="567"/>
      <c r="K27" s="566">
        <v>2</v>
      </c>
      <c r="L27" s="567"/>
      <c r="M27" s="566">
        <v>7.5</v>
      </c>
      <c r="N27" s="567"/>
      <c r="O27" s="572">
        <v>0.92</v>
      </c>
      <c r="P27" s="573"/>
      <c r="Q27" s="566">
        <v>67</v>
      </c>
      <c r="R27" s="567"/>
      <c r="S27" s="566">
        <v>4</v>
      </c>
      <c r="T27" s="567"/>
      <c r="V27" s="337"/>
      <c r="W27" s="337"/>
    </row>
    <row r="28" spans="1:23" ht="12.75">
      <c r="A28" s="159">
        <v>5</v>
      </c>
      <c r="B28" s="527" t="s">
        <v>50</v>
      </c>
      <c r="C28" s="528"/>
      <c r="D28" s="529"/>
      <c r="E28" s="533" t="s">
        <v>639</v>
      </c>
      <c r="F28" s="534"/>
      <c r="G28" s="535">
        <v>0.6</v>
      </c>
      <c r="H28" s="536"/>
      <c r="I28" s="533">
        <v>0</v>
      </c>
      <c r="J28" s="534"/>
      <c r="K28" s="533">
        <v>0</v>
      </c>
      <c r="L28" s="534"/>
      <c r="M28" s="533" t="s">
        <v>639</v>
      </c>
      <c r="N28" s="534"/>
      <c r="O28" s="535">
        <v>0.95</v>
      </c>
      <c r="P28" s="536"/>
      <c r="Q28" s="533">
        <v>0</v>
      </c>
      <c r="R28" s="534"/>
      <c r="S28" s="533">
        <v>0</v>
      </c>
      <c r="T28" s="534"/>
      <c r="V28" s="337"/>
      <c r="W28" s="337"/>
    </row>
    <row r="29" spans="1:23" ht="12.75">
      <c r="A29" s="159">
        <v>6</v>
      </c>
      <c r="B29" s="527" t="s">
        <v>51</v>
      </c>
      <c r="C29" s="528"/>
      <c r="D29" s="529"/>
      <c r="E29" s="533" t="s">
        <v>639</v>
      </c>
      <c r="F29" s="534"/>
      <c r="G29" s="535">
        <v>0.72</v>
      </c>
      <c r="H29" s="536"/>
      <c r="I29" s="533">
        <v>0</v>
      </c>
      <c r="J29" s="534"/>
      <c r="K29" s="533">
        <v>0</v>
      </c>
      <c r="L29" s="534"/>
      <c r="M29" s="533" t="s">
        <v>639</v>
      </c>
      <c r="N29" s="534"/>
      <c r="O29" s="535">
        <v>0.98</v>
      </c>
      <c r="P29" s="536"/>
      <c r="Q29" s="533">
        <v>0</v>
      </c>
      <c r="R29" s="534"/>
      <c r="S29" s="533">
        <v>0</v>
      </c>
      <c r="T29" s="534"/>
      <c r="V29" s="337"/>
      <c r="W29" s="337"/>
    </row>
    <row r="30" spans="1:20" ht="12.75">
      <c r="A30" s="159">
        <v>7</v>
      </c>
      <c r="B30" s="543" t="s">
        <v>168</v>
      </c>
      <c r="C30" s="543"/>
      <c r="D30" s="543"/>
      <c r="E30" s="531">
        <v>0</v>
      </c>
      <c r="F30" s="532"/>
      <c r="G30" s="535">
        <v>2</v>
      </c>
      <c r="H30" s="536"/>
      <c r="I30" s="531">
        <v>160</v>
      </c>
      <c r="J30" s="532"/>
      <c r="K30" s="531">
        <v>12</v>
      </c>
      <c r="L30" s="532"/>
      <c r="M30" s="531">
        <v>0</v>
      </c>
      <c r="N30" s="532"/>
      <c r="O30" s="535">
        <v>2</v>
      </c>
      <c r="P30" s="536"/>
      <c r="Q30" s="531">
        <v>160</v>
      </c>
      <c r="R30" s="532"/>
      <c r="S30" s="531">
        <v>12</v>
      </c>
      <c r="T30" s="532"/>
    </row>
    <row r="31" spans="1:20" ht="12.75">
      <c r="A31" s="159"/>
      <c r="B31" s="530" t="s">
        <v>16</v>
      </c>
      <c r="C31" s="530"/>
      <c r="D31" s="530"/>
      <c r="E31" s="531">
        <f>SUM(E24:F30)</f>
        <v>175</v>
      </c>
      <c r="F31" s="532"/>
      <c r="G31" s="531">
        <f>SUM(G25:G30)</f>
        <v>6.35</v>
      </c>
      <c r="H31" s="532"/>
      <c r="I31" s="531">
        <f>SUM(I24:J30)</f>
        <v>631</v>
      </c>
      <c r="J31" s="532"/>
      <c r="K31" s="531">
        <f>SUM(K24:L30)</f>
        <v>24</v>
      </c>
      <c r="L31" s="532"/>
      <c r="M31" s="531">
        <f>SUM(M24:N30)</f>
        <v>262.5</v>
      </c>
      <c r="N31" s="532"/>
      <c r="O31" s="574">
        <f>SUM(O25:O30)</f>
        <v>8.52</v>
      </c>
      <c r="P31" s="575"/>
      <c r="Q31" s="531">
        <f>SUM(Q24:R30)</f>
        <v>866</v>
      </c>
      <c r="R31" s="532"/>
      <c r="S31" s="531">
        <f>SUM(S24:T30)</f>
        <v>32</v>
      </c>
      <c r="T31" s="532"/>
    </row>
    <row r="32" spans="1:20" ht="12.75">
      <c r="A32" s="57"/>
      <c r="B32" s="58"/>
      <c r="C32" s="58"/>
      <c r="D32" s="5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123" t="s">
        <v>399</v>
      </c>
      <c r="B33" s="544" t="s">
        <v>458</v>
      </c>
      <c r="C33" s="544"/>
      <c r="D33" s="544"/>
      <c r="E33" s="544"/>
      <c r="F33" s="544"/>
      <c r="G33" s="544"/>
      <c r="H33" s="54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23"/>
      <c r="B34" s="58"/>
      <c r="C34" s="58"/>
      <c r="D34" s="5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8" customFormat="1" ht="17.25" customHeight="1">
      <c r="A35" s="590" t="s">
        <v>20</v>
      </c>
      <c r="B35" s="577" t="s">
        <v>400</v>
      </c>
      <c r="C35" s="578"/>
      <c r="D35" s="579"/>
      <c r="E35" s="537" t="s">
        <v>21</v>
      </c>
      <c r="F35" s="538"/>
      <c r="G35" s="538"/>
      <c r="H35" s="538"/>
      <c r="I35" s="538"/>
      <c r="J35" s="539"/>
      <c r="K35" s="555" t="s">
        <v>22</v>
      </c>
      <c r="L35" s="555"/>
      <c r="M35" s="555"/>
      <c r="N35" s="555"/>
      <c r="O35" s="555"/>
      <c r="P35" s="555"/>
      <c r="Q35" s="587"/>
      <c r="R35" s="587"/>
      <c r="S35" s="587"/>
      <c r="T35" s="587"/>
    </row>
    <row r="36" spans="1:20" ht="12.75">
      <c r="A36" s="591"/>
      <c r="B36" s="580"/>
      <c r="C36" s="581"/>
      <c r="D36" s="582"/>
      <c r="E36" s="541" t="s">
        <v>417</v>
      </c>
      <c r="F36" s="542"/>
      <c r="G36" s="541" t="s">
        <v>418</v>
      </c>
      <c r="H36" s="542"/>
      <c r="I36" s="541" t="s">
        <v>419</v>
      </c>
      <c r="J36" s="542"/>
      <c r="K36" s="555" t="s">
        <v>417</v>
      </c>
      <c r="L36" s="555"/>
      <c r="M36" s="555" t="s">
        <v>418</v>
      </c>
      <c r="N36" s="555"/>
      <c r="O36" s="555" t="s">
        <v>419</v>
      </c>
      <c r="P36" s="555"/>
      <c r="Q36" s="3"/>
      <c r="R36" s="3"/>
      <c r="S36" s="3"/>
      <c r="T36" s="3"/>
    </row>
    <row r="37" spans="1:20" ht="12.75">
      <c r="A37" s="159">
        <v>1</v>
      </c>
      <c r="B37" s="531" t="s">
        <v>642</v>
      </c>
      <c r="C37" s="540"/>
      <c r="D37" s="532"/>
      <c r="E37" s="531" t="s">
        <v>640</v>
      </c>
      <c r="F37" s="532"/>
      <c r="G37" s="531">
        <v>4</v>
      </c>
      <c r="H37" s="532"/>
      <c r="I37" s="531" t="s">
        <v>641</v>
      </c>
      <c r="J37" s="532"/>
      <c r="K37" s="531" t="s">
        <v>640</v>
      </c>
      <c r="L37" s="532"/>
      <c r="M37" s="531">
        <v>4</v>
      </c>
      <c r="N37" s="532"/>
      <c r="O37" s="531" t="s">
        <v>641</v>
      </c>
      <c r="P37" s="532"/>
      <c r="Q37" s="3"/>
      <c r="R37" s="3"/>
      <c r="S37" s="3"/>
      <c r="T37" s="3"/>
    </row>
    <row r="40" spans="1:9" ht="13.5" customHeight="1">
      <c r="A40" s="586" t="s">
        <v>179</v>
      </c>
      <c r="B40" s="586"/>
      <c r="C40" s="586"/>
      <c r="D40" s="586"/>
      <c r="E40" s="586"/>
      <c r="F40" s="586"/>
      <c r="G40" s="586"/>
      <c r="H40" s="586"/>
      <c r="I40" s="586"/>
    </row>
    <row r="41" spans="1:9" ht="13.5" customHeight="1">
      <c r="A41" s="588" t="s">
        <v>54</v>
      </c>
      <c r="B41" s="588" t="s">
        <v>21</v>
      </c>
      <c r="C41" s="588"/>
      <c r="D41" s="588"/>
      <c r="E41" s="583" t="s">
        <v>22</v>
      </c>
      <c r="F41" s="583"/>
      <c r="G41" s="583"/>
      <c r="H41" s="584" t="s">
        <v>142</v>
      </c>
      <c r="I41" s="6"/>
    </row>
    <row r="42" spans="1:9" ht="15">
      <c r="A42" s="588"/>
      <c r="B42" s="147" t="s">
        <v>169</v>
      </c>
      <c r="C42" s="153" t="s">
        <v>96</v>
      </c>
      <c r="D42" s="147" t="s">
        <v>16</v>
      </c>
      <c r="E42" s="147" t="s">
        <v>169</v>
      </c>
      <c r="F42" s="153" t="s">
        <v>96</v>
      </c>
      <c r="G42" s="147" t="s">
        <v>16</v>
      </c>
      <c r="H42" s="585"/>
      <c r="I42" s="6"/>
    </row>
    <row r="43" spans="1:9" ht="14.25">
      <c r="A43" s="17" t="s">
        <v>643</v>
      </c>
      <c r="B43" s="244">
        <v>2.61</v>
      </c>
      <c r="C43" s="244">
        <v>3.74</v>
      </c>
      <c r="D43" s="244">
        <f>SUM(B43:C43)</f>
        <v>6.35</v>
      </c>
      <c r="E43" s="244">
        <v>3.91</v>
      </c>
      <c r="F43" s="244">
        <v>4.6</v>
      </c>
      <c r="G43" s="244">
        <f>SUM(E43:F43)</f>
        <v>8.51</v>
      </c>
      <c r="H43" s="245" t="s">
        <v>753</v>
      </c>
      <c r="I43" s="6"/>
    </row>
    <row r="44" spans="1:9" ht="14.25">
      <c r="A44" s="17" t="s">
        <v>754</v>
      </c>
      <c r="B44" s="244">
        <v>2.61</v>
      </c>
      <c r="C44" s="244">
        <v>3.74</v>
      </c>
      <c r="D44" s="244">
        <f>SUM(B44:C44)</f>
        <v>6.35</v>
      </c>
      <c r="E44" s="244">
        <v>3.91</v>
      </c>
      <c r="F44" s="244">
        <v>4.6</v>
      </c>
      <c r="G44" s="244">
        <f>SUM(E44:F44)</f>
        <v>8.51</v>
      </c>
      <c r="H44" s="245" t="s">
        <v>170</v>
      </c>
      <c r="I44" s="6"/>
    </row>
    <row r="45" spans="1:20" ht="15" customHeight="1">
      <c r="A45" s="589" t="s">
        <v>228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</row>
    <row r="46" spans="1:9" ht="15">
      <c r="A46" s="18"/>
      <c r="B46" s="124"/>
      <c r="C46" s="124"/>
      <c r="D46" s="145"/>
      <c r="E46" s="145"/>
      <c r="F46" s="148"/>
      <c r="G46" s="148"/>
      <c r="H46" s="148"/>
      <c r="I46" s="6"/>
    </row>
    <row r="48" spans="1:4" s="276" customFormat="1" ht="12.75" customHeight="1">
      <c r="A48" s="275"/>
      <c r="B48" s="275"/>
      <c r="C48" s="275"/>
      <c r="D48" s="275"/>
    </row>
    <row r="49" spans="15:19" ht="12.75">
      <c r="O49" s="576" t="s">
        <v>860</v>
      </c>
      <c r="P49" s="576"/>
      <c r="Q49" s="576"/>
      <c r="R49" s="576"/>
      <c r="S49" s="576"/>
    </row>
    <row r="50" spans="15:19" ht="12.75">
      <c r="O50" s="576" t="s">
        <v>653</v>
      </c>
      <c r="P50" s="576"/>
      <c r="Q50" s="576"/>
      <c r="R50" s="576"/>
      <c r="S50" s="576"/>
    </row>
  </sheetData>
  <sheetProtection/>
  <mergeCells count="158">
    <mergeCell ref="E41:G41"/>
    <mergeCell ref="H41:H42"/>
    <mergeCell ref="A40:I40"/>
    <mergeCell ref="S35:T35"/>
    <mergeCell ref="Q35:R35"/>
    <mergeCell ref="A41:A42"/>
    <mergeCell ref="B41:D41"/>
    <mergeCell ref="A35:A36"/>
    <mergeCell ref="K37:L37"/>
    <mergeCell ref="K36:L36"/>
    <mergeCell ref="E36:F36"/>
    <mergeCell ref="E37:F37"/>
    <mergeCell ref="B35:D36"/>
    <mergeCell ref="K35:P35"/>
    <mergeCell ref="M37:N37"/>
    <mergeCell ref="O37:P37"/>
    <mergeCell ref="Q28:R28"/>
    <mergeCell ref="S28:T28"/>
    <mergeCell ref="M28:N28"/>
    <mergeCell ref="O50:S50"/>
    <mergeCell ref="M36:N36"/>
    <mergeCell ref="O36:P36"/>
    <mergeCell ref="A45:T45"/>
    <mergeCell ref="O49:S49"/>
    <mergeCell ref="K30:L30"/>
    <mergeCell ref="M31:N31"/>
    <mergeCell ref="O31:P31"/>
    <mergeCell ref="Q31:R31"/>
    <mergeCell ref="K28:L28"/>
    <mergeCell ref="O28:P28"/>
    <mergeCell ref="M29:N29"/>
    <mergeCell ref="O29:P29"/>
    <mergeCell ref="K31:L31"/>
    <mergeCell ref="K29:L29"/>
    <mergeCell ref="S31:T31"/>
    <mergeCell ref="M30:N30"/>
    <mergeCell ref="Q30:R30"/>
    <mergeCell ref="S30:T30"/>
    <mergeCell ref="O30:P30"/>
    <mergeCell ref="S27:T27"/>
    <mergeCell ref="O27:P27"/>
    <mergeCell ref="Q29:R29"/>
    <mergeCell ref="Q27:R27"/>
    <mergeCell ref="S29:T29"/>
    <mergeCell ref="S26:T26"/>
    <mergeCell ref="Q23:R23"/>
    <mergeCell ref="O22:P22"/>
    <mergeCell ref="M26:N26"/>
    <mergeCell ref="M24:N24"/>
    <mergeCell ref="Q25:R25"/>
    <mergeCell ref="O23:P23"/>
    <mergeCell ref="G25:H25"/>
    <mergeCell ref="M23:N23"/>
    <mergeCell ref="M21:T21"/>
    <mergeCell ref="Q22:R22"/>
    <mergeCell ref="F13:G13"/>
    <mergeCell ref="B12:C12"/>
    <mergeCell ref="H13:I13"/>
    <mergeCell ref="I24:J24"/>
    <mergeCell ref="H12:I12"/>
    <mergeCell ref="A15:G15"/>
    <mergeCell ref="D12:E12"/>
    <mergeCell ref="F12:G12"/>
    <mergeCell ref="C17:D17"/>
    <mergeCell ref="I22:J22"/>
    <mergeCell ref="B13:C13"/>
    <mergeCell ref="M22:N22"/>
    <mergeCell ref="K22:L22"/>
    <mergeCell ref="C16:D16"/>
    <mergeCell ref="A16:B16"/>
    <mergeCell ref="I23:J23"/>
    <mergeCell ref="E26:F26"/>
    <mergeCell ref="G26:H26"/>
    <mergeCell ref="A21:A22"/>
    <mergeCell ref="S22:T22"/>
    <mergeCell ref="A17:B17"/>
    <mergeCell ref="O25:P25"/>
    <mergeCell ref="K25:L25"/>
    <mergeCell ref="K24:L24"/>
    <mergeCell ref="E25:F25"/>
    <mergeCell ref="K26:L26"/>
    <mergeCell ref="S25:T25"/>
    <mergeCell ref="Q24:R24"/>
    <mergeCell ref="I27:J27"/>
    <mergeCell ref="K27:L27"/>
    <mergeCell ref="O24:P24"/>
    <mergeCell ref="M27:N27"/>
    <mergeCell ref="Q26:R26"/>
    <mergeCell ref="S24:T24"/>
    <mergeCell ref="O26:P26"/>
    <mergeCell ref="A5:T5"/>
    <mergeCell ref="B26:D26"/>
    <mergeCell ref="B28:D28"/>
    <mergeCell ref="E28:F28"/>
    <mergeCell ref="G28:H28"/>
    <mergeCell ref="A20:S20"/>
    <mergeCell ref="I28:J28"/>
    <mergeCell ref="S23:T23"/>
    <mergeCell ref="M25:N25"/>
    <mergeCell ref="I26:J26"/>
    <mergeCell ref="R1:S1"/>
    <mergeCell ref="B9:C9"/>
    <mergeCell ref="A7:I7"/>
    <mergeCell ref="D9:E9"/>
    <mergeCell ref="F9:G9"/>
    <mergeCell ref="H1:I1"/>
    <mergeCell ref="J9:K9"/>
    <mergeCell ref="H9:I9"/>
    <mergeCell ref="A2:T2"/>
    <mergeCell ref="A3:T3"/>
    <mergeCell ref="K23:L23"/>
    <mergeCell ref="B21:D22"/>
    <mergeCell ref="E21:L21"/>
    <mergeCell ref="J13:K13"/>
    <mergeCell ref="J11:K11"/>
    <mergeCell ref="F11:G11"/>
    <mergeCell ref="H11:I11"/>
    <mergeCell ref="G22:H22"/>
    <mergeCell ref="J12:K12"/>
    <mergeCell ref="D13:E13"/>
    <mergeCell ref="B10:C10"/>
    <mergeCell ref="B23:D23"/>
    <mergeCell ref="B24:D24"/>
    <mergeCell ref="B25:D25"/>
    <mergeCell ref="J10:K10"/>
    <mergeCell ref="I25:J25"/>
    <mergeCell ref="B11:C11"/>
    <mergeCell ref="E24:F24"/>
    <mergeCell ref="D11:E11"/>
    <mergeCell ref="E23:F23"/>
    <mergeCell ref="I31:J31"/>
    <mergeCell ref="I36:J36"/>
    <mergeCell ref="I37:J37"/>
    <mergeCell ref="I30:J30"/>
    <mergeCell ref="D10:E10"/>
    <mergeCell ref="F10:G10"/>
    <mergeCell ref="H10:I10"/>
    <mergeCell ref="G24:H24"/>
    <mergeCell ref="E22:F22"/>
    <mergeCell ref="G23:H23"/>
    <mergeCell ref="E35:J35"/>
    <mergeCell ref="B37:D37"/>
    <mergeCell ref="G36:H36"/>
    <mergeCell ref="G37:H37"/>
    <mergeCell ref="E29:F29"/>
    <mergeCell ref="G29:H29"/>
    <mergeCell ref="B30:D30"/>
    <mergeCell ref="B33:H33"/>
    <mergeCell ref="I29:J29"/>
    <mergeCell ref="E30:F30"/>
    <mergeCell ref="B29:D29"/>
    <mergeCell ref="B31:D31"/>
    <mergeCell ref="E31:F31"/>
    <mergeCell ref="G31:H31"/>
    <mergeCell ref="B27:D27"/>
    <mergeCell ref="E27:F27"/>
    <mergeCell ref="G27:H27"/>
    <mergeCell ref="G30:H30"/>
  </mergeCells>
  <printOptions horizontalCentered="1"/>
  <pageMargins left="0.35" right="0.35" top="0.45" bottom="0" header="0.31496062992125984" footer="0.31496062992125984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55" zoomScalePageLayoutView="0" workbookViewId="0" topLeftCell="A1">
      <selection activeCell="B10" sqref="B10"/>
    </sheetView>
  </sheetViews>
  <sheetFormatPr defaultColWidth="9.140625" defaultRowHeight="12.75"/>
  <cols>
    <col min="1" max="1" width="9.28125" style="6" bestFit="1" customWidth="1"/>
    <col min="2" max="2" width="21.00390625" style="6" customWidth="1"/>
    <col min="3" max="4" width="9.140625" style="6" customWidth="1"/>
    <col min="5" max="5" width="9.8515625" style="6" bestFit="1" customWidth="1"/>
    <col min="6" max="6" width="11.57421875" style="6" customWidth="1"/>
    <col min="7" max="7" width="10.421875" style="6" customWidth="1"/>
    <col min="8" max="8" width="20.28125" style="6" customWidth="1"/>
    <col min="9" max="9" width="10.421875" style="6" customWidth="1"/>
    <col min="10" max="10" width="22.8515625" style="6" customWidth="1"/>
    <col min="11" max="16384" width="9.140625" style="6" customWidth="1"/>
  </cols>
  <sheetData>
    <row r="1" spans="1:10" ht="15.75">
      <c r="A1" s="562" t="s">
        <v>658</v>
      </c>
      <c r="B1" s="562"/>
      <c r="C1" s="562"/>
      <c r="D1" s="562"/>
      <c r="E1" s="562"/>
      <c r="F1" s="562"/>
      <c r="G1" s="562"/>
      <c r="H1" s="562"/>
      <c r="I1" s="562"/>
      <c r="J1" s="207" t="s">
        <v>546</v>
      </c>
    </row>
    <row r="2" spans="1:10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</row>
    <row r="4" spans="1:10" ht="15.75">
      <c r="A4" s="562" t="s">
        <v>545</v>
      </c>
      <c r="B4" s="562"/>
      <c r="C4" s="562"/>
      <c r="D4" s="562"/>
      <c r="E4" s="562"/>
      <c r="F4" s="562"/>
      <c r="G4" s="562"/>
      <c r="H4" s="562"/>
      <c r="I4" s="562"/>
      <c r="J4" s="562"/>
    </row>
    <row r="5" spans="1:10" ht="12.75">
      <c r="A5" s="76" t="s">
        <v>671</v>
      </c>
      <c r="B5" s="76"/>
      <c r="C5" s="76"/>
      <c r="D5" s="76"/>
      <c r="E5" s="76"/>
      <c r="F5" s="76"/>
      <c r="G5" s="76"/>
      <c r="H5" s="76"/>
      <c r="I5" s="640" t="s">
        <v>750</v>
      </c>
      <c r="J5" s="640"/>
    </row>
    <row r="6" spans="1:10" ht="25.5" customHeight="1">
      <c r="A6" s="530" t="s">
        <v>2</v>
      </c>
      <c r="B6" s="530" t="s">
        <v>382</v>
      </c>
      <c r="C6" s="530" t="s">
        <v>383</v>
      </c>
      <c r="D6" s="530"/>
      <c r="E6" s="530"/>
      <c r="F6" s="537" t="s">
        <v>386</v>
      </c>
      <c r="G6" s="538"/>
      <c r="H6" s="538"/>
      <c r="I6" s="539"/>
      <c r="J6" s="642" t="s">
        <v>390</v>
      </c>
    </row>
    <row r="7" spans="1:10" ht="63" customHeight="1">
      <c r="A7" s="530"/>
      <c r="B7" s="530"/>
      <c r="C7" s="24" t="s">
        <v>96</v>
      </c>
      <c r="D7" s="24" t="s">
        <v>384</v>
      </c>
      <c r="E7" s="24" t="s">
        <v>385</v>
      </c>
      <c r="F7" s="1" t="s">
        <v>387</v>
      </c>
      <c r="G7" s="1" t="s">
        <v>388</v>
      </c>
      <c r="H7" s="1" t="s">
        <v>389</v>
      </c>
      <c r="I7" s="1" t="s">
        <v>43</v>
      </c>
      <c r="J7" s="643"/>
    </row>
    <row r="8" spans="1:10" ht="12.7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266</v>
      </c>
      <c r="G8" s="149" t="s">
        <v>285</v>
      </c>
      <c r="H8" s="149" t="s">
        <v>286</v>
      </c>
      <c r="I8" s="149" t="s">
        <v>287</v>
      </c>
      <c r="J8" s="149" t="s">
        <v>315</v>
      </c>
    </row>
    <row r="9" spans="1:10" ht="76.5">
      <c r="A9" s="271">
        <v>1</v>
      </c>
      <c r="B9" s="48" t="s">
        <v>872</v>
      </c>
      <c r="C9" s="272" t="s">
        <v>7</v>
      </c>
      <c r="D9" s="272" t="s">
        <v>7</v>
      </c>
      <c r="E9" s="273">
        <v>27732</v>
      </c>
      <c r="F9" s="272" t="s">
        <v>7</v>
      </c>
      <c r="G9" s="272">
        <v>27732</v>
      </c>
      <c r="H9" s="272" t="s">
        <v>7</v>
      </c>
      <c r="I9" s="272" t="s">
        <v>7</v>
      </c>
      <c r="J9" s="272" t="s">
        <v>871</v>
      </c>
    </row>
    <row r="10" spans="1:10" ht="12.75">
      <c r="A10" s="240"/>
      <c r="B10" s="240"/>
      <c r="C10" s="274"/>
      <c r="D10" s="274"/>
      <c r="E10" s="274"/>
      <c r="F10" s="274"/>
      <c r="G10" s="274"/>
      <c r="H10" s="274"/>
      <c r="I10" s="274"/>
      <c r="J10" s="274"/>
    </row>
    <row r="11" spans="1:10" ht="12.75">
      <c r="A11" s="240"/>
      <c r="B11" s="240"/>
      <c r="C11" s="274"/>
      <c r="D11" s="274"/>
      <c r="E11" s="274"/>
      <c r="F11" s="274"/>
      <c r="G11" s="274"/>
      <c r="H11" s="274"/>
      <c r="I11" s="274"/>
      <c r="J11" s="274"/>
    </row>
    <row r="12" spans="1:10" ht="12.75">
      <c r="A12" s="240"/>
      <c r="B12" s="240"/>
      <c r="C12" s="274"/>
      <c r="D12" s="274"/>
      <c r="E12" s="274"/>
      <c r="F12" s="274"/>
      <c r="G12" s="274"/>
      <c r="H12" s="274"/>
      <c r="I12" s="274"/>
      <c r="J12" s="274"/>
    </row>
    <row r="13" spans="1:4" ht="12.75">
      <c r="A13" s="106" t="s">
        <v>12</v>
      </c>
      <c r="C13" s="106"/>
      <c r="D13" s="106"/>
    </row>
    <row r="19" spans="7:10" ht="15.75">
      <c r="G19" s="621" t="s">
        <v>860</v>
      </c>
      <c r="H19" s="621"/>
      <c r="I19" s="621"/>
      <c r="J19" s="621"/>
    </row>
    <row r="20" spans="7:10" ht="15.75">
      <c r="G20" s="621" t="s">
        <v>653</v>
      </c>
      <c r="H20" s="621"/>
      <c r="I20" s="621"/>
      <c r="J20" s="621"/>
    </row>
  </sheetData>
  <sheetProtection/>
  <mergeCells count="11">
    <mergeCell ref="I5:J5"/>
    <mergeCell ref="G19:J19"/>
    <mergeCell ref="G20:J20"/>
    <mergeCell ref="A1:I1"/>
    <mergeCell ref="A4:J4"/>
    <mergeCell ref="J6:J7"/>
    <mergeCell ref="A2:J2"/>
    <mergeCell ref="A6:A7"/>
    <mergeCell ref="B6:B7"/>
    <mergeCell ref="C6:E6"/>
    <mergeCell ref="F6:I6"/>
  </mergeCells>
  <printOptions horizontalCentered="1"/>
  <pageMargins left="0.7086614173228347" right="0.7086614173228347" top="0.5" bottom="0" header="0.31496062992125984" footer="0.31496062992125984"/>
  <pageSetup fitToHeight="1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5.28125" style="106" customWidth="1"/>
    <col min="2" max="2" width="8.57421875" style="106" customWidth="1"/>
    <col min="3" max="3" width="32.140625" style="106" customWidth="1"/>
    <col min="4" max="4" width="15.140625" style="106" customWidth="1"/>
    <col min="5" max="6" width="11.7109375" style="106" customWidth="1"/>
    <col min="7" max="7" width="13.7109375" style="106" customWidth="1"/>
    <col min="8" max="8" width="20.140625" style="106" customWidth="1"/>
    <col min="9" max="16384" width="9.140625" style="106" customWidth="1"/>
  </cols>
  <sheetData>
    <row r="1" spans="1:8" ht="12.75">
      <c r="A1" s="106" t="s">
        <v>11</v>
      </c>
      <c r="H1" s="106" t="s">
        <v>548</v>
      </c>
    </row>
    <row r="2" spans="1:8" s="108" customFormat="1" ht="15.75">
      <c r="A2" s="687" t="s">
        <v>0</v>
      </c>
      <c r="B2" s="687"/>
      <c r="C2" s="687"/>
      <c r="D2" s="687"/>
      <c r="E2" s="687"/>
      <c r="F2" s="687"/>
      <c r="G2" s="687"/>
      <c r="H2" s="687"/>
    </row>
    <row r="3" spans="1:8" s="108" customFormat="1" ht="20.25" customHeight="1">
      <c r="A3" s="686" t="s">
        <v>695</v>
      </c>
      <c r="B3" s="686"/>
      <c r="C3" s="686"/>
      <c r="D3" s="686"/>
      <c r="E3" s="686"/>
      <c r="F3" s="686"/>
      <c r="G3" s="686"/>
      <c r="H3" s="686"/>
    </row>
    <row r="5" spans="1:8" s="108" customFormat="1" ht="15.75">
      <c r="A5" s="685" t="s">
        <v>547</v>
      </c>
      <c r="B5" s="685"/>
      <c r="C5" s="685"/>
      <c r="D5" s="685"/>
      <c r="E5" s="685"/>
      <c r="F5" s="685"/>
      <c r="G5" s="685"/>
      <c r="H5" s="734"/>
    </row>
    <row r="7" spans="1:7" ht="12.75">
      <c r="A7" s="109" t="s">
        <v>672</v>
      </c>
      <c r="B7" s="109"/>
      <c r="C7" s="341"/>
      <c r="D7" s="110"/>
      <c r="E7" s="110"/>
      <c r="F7" s="110"/>
      <c r="G7" s="110"/>
    </row>
    <row r="9" spans="1:7" ht="13.5" customHeight="1">
      <c r="A9" s="116"/>
      <c r="B9" s="116"/>
      <c r="C9" s="116"/>
      <c r="D9" s="116"/>
      <c r="E9" s="116"/>
      <c r="F9" s="116"/>
      <c r="G9" s="116"/>
    </row>
    <row r="10" spans="1:8" s="111" customFormat="1" ht="12.75">
      <c r="A10" s="106"/>
      <c r="B10" s="106"/>
      <c r="C10" s="106"/>
      <c r="D10" s="106"/>
      <c r="E10" s="106"/>
      <c r="F10" s="106"/>
      <c r="G10" s="106"/>
      <c r="H10" s="171"/>
    </row>
    <row r="11" spans="1:8" s="111" customFormat="1" ht="39.75" customHeight="1">
      <c r="A11" s="112"/>
      <c r="B11" s="735" t="s">
        <v>279</v>
      </c>
      <c r="C11" s="735" t="s">
        <v>280</v>
      </c>
      <c r="D11" s="737" t="s">
        <v>281</v>
      </c>
      <c r="E11" s="738"/>
      <c r="F11" s="738"/>
      <c r="G11" s="739"/>
      <c r="H11" s="735" t="s">
        <v>74</v>
      </c>
    </row>
    <row r="12" spans="1:8" s="111" customFormat="1" ht="25.5">
      <c r="A12" s="113"/>
      <c r="B12" s="736"/>
      <c r="C12" s="736"/>
      <c r="D12" s="252" t="s">
        <v>282</v>
      </c>
      <c r="E12" s="252" t="s">
        <v>283</v>
      </c>
      <c r="F12" s="252" t="s">
        <v>284</v>
      </c>
      <c r="G12" s="252" t="s">
        <v>16</v>
      </c>
      <c r="H12" s="736"/>
    </row>
    <row r="13" spans="1:8" s="111" customFormat="1" ht="15">
      <c r="A13" s="113"/>
      <c r="B13" s="253" t="s">
        <v>259</v>
      </c>
      <c r="C13" s="253" t="s">
        <v>260</v>
      </c>
      <c r="D13" s="253" t="s">
        <v>261</v>
      </c>
      <c r="E13" s="253" t="s">
        <v>262</v>
      </c>
      <c r="F13" s="253" t="s">
        <v>263</v>
      </c>
      <c r="G13" s="253" t="s">
        <v>264</v>
      </c>
      <c r="H13" s="253" t="s">
        <v>265</v>
      </c>
    </row>
    <row r="14" spans="2:8" s="117" customFormat="1" ht="15" customHeight="1">
      <c r="B14" s="254" t="s">
        <v>25</v>
      </c>
      <c r="C14" s="740" t="s">
        <v>288</v>
      </c>
      <c r="D14" s="741"/>
      <c r="E14" s="741"/>
      <c r="F14" s="741"/>
      <c r="G14" s="741"/>
      <c r="H14" s="742"/>
    </row>
    <row r="15" spans="2:8" s="118" customFormat="1" ht="12.75">
      <c r="B15" s="255"/>
      <c r="C15" s="255" t="s">
        <v>644</v>
      </c>
      <c r="D15" s="254">
        <v>1</v>
      </c>
      <c r="E15" s="254">
        <v>0</v>
      </c>
      <c r="F15" s="254">
        <v>0</v>
      </c>
      <c r="G15" s="254">
        <f>SUM(D15:F15)</f>
        <v>1</v>
      </c>
      <c r="H15" s="255"/>
    </row>
    <row r="16" spans="1:8" ht="14.25">
      <c r="A16" s="114"/>
      <c r="B16" s="256"/>
      <c r="C16" s="257" t="s">
        <v>645</v>
      </c>
      <c r="D16" s="258">
        <v>1</v>
      </c>
      <c r="E16" s="258">
        <v>0</v>
      </c>
      <c r="F16" s="258">
        <v>0</v>
      </c>
      <c r="G16" s="254">
        <f>SUM(D16:F16)</f>
        <v>1</v>
      </c>
      <c r="H16" s="256"/>
    </row>
    <row r="17" spans="2:8" ht="12.75">
      <c r="B17" s="259"/>
      <c r="C17" s="257" t="s">
        <v>646</v>
      </c>
      <c r="D17" s="258">
        <v>1</v>
      </c>
      <c r="E17" s="260">
        <v>0</v>
      </c>
      <c r="F17" s="260">
        <v>0</v>
      </c>
      <c r="G17" s="254">
        <f>SUM(D17:F17)</f>
        <v>1</v>
      </c>
      <c r="H17" s="256"/>
    </row>
    <row r="18" spans="2:8" s="65" customFormat="1" ht="12.75">
      <c r="B18" s="256"/>
      <c r="C18" s="257" t="s">
        <v>647</v>
      </c>
      <c r="D18" s="258">
        <v>1</v>
      </c>
      <c r="E18" s="258">
        <v>0</v>
      </c>
      <c r="F18" s="258">
        <v>0</v>
      </c>
      <c r="G18" s="254">
        <f>SUM(D18:F18)</f>
        <v>1</v>
      </c>
      <c r="H18" s="261"/>
    </row>
    <row r="19" spans="2:8" s="65" customFormat="1" ht="12.75">
      <c r="B19" s="256"/>
      <c r="C19" s="257" t="s">
        <v>648</v>
      </c>
      <c r="D19" s="258">
        <v>0</v>
      </c>
      <c r="E19" s="258">
        <v>0</v>
      </c>
      <c r="F19" s="258">
        <v>0</v>
      </c>
      <c r="G19" s="254">
        <f>SUM(D19:F19)</f>
        <v>0</v>
      </c>
      <c r="H19" s="261"/>
    </row>
    <row r="20" spans="2:8" s="65" customFormat="1" ht="12.75">
      <c r="B20" s="256"/>
      <c r="C20" s="257"/>
      <c r="D20" s="258"/>
      <c r="E20" s="258"/>
      <c r="F20" s="258"/>
      <c r="G20" s="258"/>
      <c r="H20" s="261"/>
    </row>
    <row r="21" spans="2:8" s="65" customFormat="1" ht="21.75" customHeight="1">
      <c r="B21" s="254" t="s">
        <v>29</v>
      </c>
      <c r="C21" s="740" t="s">
        <v>459</v>
      </c>
      <c r="D21" s="741"/>
      <c r="E21" s="741"/>
      <c r="F21" s="741"/>
      <c r="G21" s="741"/>
      <c r="H21" s="742"/>
    </row>
    <row r="22" spans="1:8" s="65" customFormat="1" ht="12.75">
      <c r="A22" s="115" t="s">
        <v>278</v>
      </c>
      <c r="B22" s="256"/>
      <c r="C22" s="257" t="s">
        <v>649</v>
      </c>
      <c r="D22" s="254">
        <v>1</v>
      </c>
      <c r="E22" s="254">
        <v>0</v>
      </c>
      <c r="F22" s="254">
        <v>0</v>
      </c>
      <c r="G22" s="254">
        <f>SUM(D22:F22)</f>
        <v>1</v>
      </c>
      <c r="H22" s="256"/>
    </row>
    <row r="23" spans="2:8" ht="12.75">
      <c r="B23" s="256"/>
      <c r="C23" s="257" t="s">
        <v>650</v>
      </c>
      <c r="D23" s="254">
        <v>1</v>
      </c>
      <c r="E23" s="254">
        <v>10</v>
      </c>
      <c r="F23" s="254">
        <v>0</v>
      </c>
      <c r="G23" s="254">
        <f>SUM(D23:F23)</f>
        <v>11</v>
      </c>
      <c r="H23" s="256"/>
    </row>
    <row r="24" spans="2:8" ht="12.75">
      <c r="B24" s="256"/>
      <c r="C24" s="256"/>
      <c r="D24" s="254"/>
      <c r="E24" s="254"/>
      <c r="F24" s="254"/>
      <c r="G24" s="254"/>
      <c r="H24" s="256"/>
    </row>
    <row r="25" spans="2:8" ht="12.75">
      <c r="B25" s="262"/>
      <c r="C25" s="262"/>
      <c r="D25" s="263"/>
      <c r="E25" s="263"/>
      <c r="F25" s="263"/>
      <c r="G25" s="263"/>
      <c r="H25" s="262"/>
    </row>
    <row r="26" spans="2:8" ht="12.75">
      <c r="B26" s="262"/>
      <c r="C26" s="262"/>
      <c r="D26" s="263"/>
      <c r="E26" s="263"/>
      <c r="F26" s="263"/>
      <c r="G26" s="263"/>
      <c r="H26" s="262"/>
    </row>
    <row r="29" spans="5:8" ht="15.75">
      <c r="E29" s="621" t="s">
        <v>860</v>
      </c>
      <c r="F29" s="621"/>
      <c r="G29" s="621"/>
      <c r="H29" s="621"/>
    </row>
    <row r="30" spans="5:8" ht="15.75">
      <c r="E30" s="621" t="s">
        <v>653</v>
      </c>
      <c r="F30" s="621"/>
      <c r="G30" s="621"/>
      <c r="H30" s="621"/>
    </row>
  </sheetData>
  <sheetProtection/>
  <mergeCells count="11">
    <mergeCell ref="E29:H29"/>
    <mergeCell ref="E30:H30"/>
    <mergeCell ref="H11:H12"/>
    <mergeCell ref="C14:H14"/>
    <mergeCell ref="C21:H21"/>
    <mergeCell ref="A2:H2"/>
    <mergeCell ref="A3:H3"/>
    <mergeCell ref="A5:H5"/>
    <mergeCell ref="B11:B12"/>
    <mergeCell ref="C11:C12"/>
    <mergeCell ref="D11:G11"/>
  </mergeCells>
  <printOptions horizontalCentered="1"/>
  <pageMargins left="0.7086614173228347" right="0.7086614173228347" top="0.44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85" zoomScaleNormal="70" zoomScaleSheetLayoutView="85" zoomScalePageLayoutView="0" workbookViewId="0" topLeftCell="A7">
      <selection activeCell="J7" sqref="J7"/>
    </sheetView>
  </sheetViews>
  <sheetFormatPr defaultColWidth="9.140625" defaultRowHeight="12.75"/>
  <cols>
    <col min="1" max="1" width="8.28125" style="6" customWidth="1"/>
    <col min="2" max="2" width="21.28125" style="6" customWidth="1"/>
    <col min="3" max="3" width="17.28125" style="6" customWidth="1"/>
    <col min="4" max="4" width="21.00390625" style="6" customWidth="1"/>
    <col min="5" max="5" width="21.140625" style="6" customWidth="1"/>
    <col min="6" max="7" width="20.7109375" style="6" customWidth="1"/>
    <col min="8" max="8" width="23.57421875" style="6" customWidth="1"/>
    <col min="9" max="16384" width="9.140625" style="6" customWidth="1"/>
  </cols>
  <sheetData>
    <row r="1" spans="1:8" ht="15.75">
      <c r="A1" s="562" t="s">
        <v>0</v>
      </c>
      <c r="B1" s="562"/>
      <c r="C1" s="562"/>
      <c r="D1" s="562"/>
      <c r="E1" s="562"/>
      <c r="F1" s="562"/>
      <c r="G1" s="155"/>
      <c r="H1" s="199" t="s">
        <v>560</v>
      </c>
    </row>
    <row r="2" spans="1:8" ht="20.25">
      <c r="A2" s="563" t="s">
        <v>695</v>
      </c>
      <c r="B2" s="563"/>
      <c r="C2" s="563"/>
      <c r="D2" s="563"/>
      <c r="E2" s="563"/>
      <c r="F2" s="563"/>
      <c r="G2" s="563"/>
      <c r="H2" s="563"/>
    </row>
    <row r="4" spans="1:8" ht="18" customHeight="1">
      <c r="A4" s="639" t="s">
        <v>561</v>
      </c>
      <c r="B4" s="639"/>
      <c r="C4" s="639"/>
      <c r="D4" s="639"/>
      <c r="E4" s="639"/>
      <c r="F4" s="639"/>
      <c r="G4" s="639"/>
      <c r="H4" s="639"/>
    </row>
    <row r="5" spans="1:2" ht="12.75">
      <c r="A5" s="76" t="s">
        <v>671</v>
      </c>
      <c r="B5" s="76"/>
    </row>
    <row r="6" spans="1:8" ht="12.75">
      <c r="A6" s="76"/>
      <c r="B6" s="76"/>
      <c r="F6" s="640" t="s">
        <v>750</v>
      </c>
      <c r="G6" s="640"/>
      <c r="H6" s="640"/>
    </row>
    <row r="7" spans="1:8" ht="59.25" customHeight="1">
      <c r="A7" s="122" t="s">
        <v>2</v>
      </c>
      <c r="B7" s="165" t="s">
        <v>3</v>
      </c>
      <c r="C7" s="184" t="s">
        <v>562</v>
      </c>
      <c r="D7" s="184" t="s">
        <v>563</v>
      </c>
      <c r="E7" s="184" t="s">
        <v>564</v>
      </c>
      <c r="F7" s="184" t="s">
        <v>565</v>
      </c>
      <c r="G7" s="481" t="s">
        <v>852</v>
      </c>
      <c r="H7" s="429" t="s">
        <v>795</v>
      </c>
    </row>
    <row r="8" spans="1:8" s="434" customFormat="1" ht="15">
      <c r="A8" s="284" t="s">
        <v>259</v>
      </c>
      <c r="B8" s="284" t="s">
        <v>260</v>
      </c>
      <c r="C8" s="284" t="s">
        <v>261</v>
      </c>
      <c r="D8" s="284" t="s">
        <v>262</v>
      </c>
      <c r="E8" s="284" t="s">
        <v>263</v>
      </c>
      <c r="F8" s="284" t="s">
        <v>264</v>
      </c>
      <c r="G8" s="284" t="s">
        <v>265</v>
      </c>
      <c r="H8" s="284">
        <v>8</v>
      </c>
    </row>
    <row r="9" spans="1:8" s="199" customFormat="1" ht="14.25">
      <c r="A9" s="201">
        <v>1</v>
      </c>
      <c r="B9" s="201" t="s">
        <v>633</v>
      </c>
      <c r="C9" s="309">
        <v>1152</v>
      </c>
      <c r="D9" s="517">
        <v>508</v>
      </c>
      <c r="E9" s="309">
        <v>40</v>
      </c>
      <c r="F9" s="291" t="s">
        <v>694</v>
      </c>
      <c r="G9" s="309">
        <f>SUM(D9:F9)</f>
        <v>548</v>
      </c>
      <c r="H9" s="269" t="s">
        <v>7</v>
      </c>
    </row>
    <row r="10" spans="1:8" s="199" customFormat="1" ht="14.25">
      <c r="A10" s="201">
        <f>A9+1</f>
        <v>2</v>
      </c>
      <c r="B10" s="201" t="s">
        <v>598</v>
      </c>
      <c r="C10" s="309">
        <v>1313</v>
      </c>
      <c r="D10" s="517">
        <v>855</v>
      </c>
      <c r="E10" s="309">
        <v>24</v>
      </c>
      <c r="F10" s="309">
        <v>383</v>
      </c>
      <c r="G10" s="309">
        <f aca="true" t="shared" si="0" ref="G10:G39">SUM(D10:F10)</f>
        <v>1262</v>
      </c>
      <c r="H10" s="269" t="s">
        <v>7</v>
      </c>
    </row>
    <row r="11" spans="1:8" s="199" customFormat="1" ht="14.25">
      <c r="A11" s="201">
        <f aca="true" t="shared" si="1" ref="A11:A39">A10+1</f>
        <v>3</v>
      </c>
      <c r="B11" s="201" t="s">
        <v>634</v>
      </c>
      <c r="C11" s="309">
        <v>883</v>
      </c>
      <c r="D11" s="517">
        <v>0</v>
      </c>
      <c r="E11" s="309">
        <v>0</v>
      </c>
      <c r="F11" s="309">
        <v>0</v>
      </c>
      <c r="G11" s="309">
        <f t="shared" si="0"/>
        <v>0</v>
      </c>
      <c r="H11" s="269" t="s">
        <v>7</v>
      </c>
    </row>
    <row r="12" spans="1:8" s="199" customFormat="1" ht="14.25">
      <c r="A12" s="201">
        <f t="shared" si="1"/>
        <v>4</v>
      </c>
      <c r="B12" s="201" t="s">
        <v>599</v>
      </c>
      <c r="C12" s="309">
        <v>805</v>
      </c>
      <c r="D12" s="517">
        <v>497</v>
      </c>
      <c r="E12" s="309">
        <v>53</v>
      </c>
      <c r="F12" s="309">
        <v>2</v>
      </c>
      <c r="G12" s="309">
        <f t="shared" si="0"/>
        <v>552</v>
      </c>
      <c r="H12" s="269" t="s">
        <v>7</v>
      </c>
    </row>
    <row r="13" spans="1:8" s="199" customFormat="1" ht="14.25">
      <c r="A13" s="201">
        <f t="shared" si="1"/>
        <v>5</v>
      </c>
      <c r="B13" s="201" t="s">
        <v>600</v>
      </c>
      <c r="C13" s="309">
        <v>524</v>
      </c>
      <c r="D13" s="517">
        <f>78+63</f>
        <v>141</v>
      </c>
      <c r="E13" s="309">
        <v>63</v>
      </c>
      <c r="F13" s="309">
        <v>0</v>
      </c>
      <c r="G13" s="309">
        <f t="shared" si="0"/>
        <v>204</v>
      </c>
      <c r="H13" s="269" t="s">
        <v>7</v>
      </c>
    </row>
    <row r="14" spans="1:8" s="199" customFormat="1" ht="14.25">
      <c r="A14" s="201">
        <f t="shared" si="1"/>
        <v>6</v>
      </c>
      <c r="B14" s="201" t="s">
        <v>601</v>
      </c>
      <c r="C14" s="309">
        <v>826</v>
      </c>
      <c r="D14" s="517">
        <v>202</v>
      </c>
      <c r="E14" s="309">
        <v>0</v>
      </c>
      <c r="F14" s="309">
        <v>43</v>
      </c>
      <c r="G14" s="309">
        <f t="shared" si="0"/>
        <v>245</v>
      </c>
      <c r="H14" s="269" t="s">
        <v>7</v>
      </c>
    </row>
    <row r="15" spans="1:8" s="199" customFormat="1" ht="14.25">
      <c r="A15" s="201">
        <f t="shared" si="1"/>
        <v>7</v>
      </c>
      <c r="B15" s="201" t="s">
        <v>602</v>
      </c>
      <c r="C15" s="309">
        <v>466</v>
      </c>
      <c r="D15" s="309">
        <v>217</v>
      </c>
      <c r="E15" s="309">
        <v>0</v>
      </c>
      <c r="F15" s="309">
        <v>0</v>
      </c>
      <c r="G15" s="309">
        <f t="shared" si="0"/>
        <v>217</v>
      </c>
      <c r="H15" s="269" t="s">
        <v>7</v>
      </c>
    </row>
    <row r="16" spans="1:8" s="199" customFormat="1" ht="14.25">
      <c r="A16" s="201">
        <f t="shared" si="1"/>
        <v>8</v>
      </c>
      <c r="B16" s="201" t="s">
        <v>603</v>
      </c>
      <c r="C16" s="309">
        <v>1014</v>
      </c>
      <c r="D16" s="517">
        <v>305</v>
      </c>
      <c r="E16" s="309">
        <v>102</v>
      </c>
      <c r="F16" s="309">
        <v>138</v>
      </c>
      <c r="G16" s="309">
        <f t="shared" si="0"/>
        <v>545</v>
      </c>
      <c r="H16" s="269" t="s">
        <v>7</v>
      </c>
    </row>
    <row r="17" spans="1:8" s="199" customFormat="1" ht="14.25">
      <c r="A17" s="201">
        <f t="shared" si="1"/>
        <v>9</v>
      </c>
      <c r="B17" s="201" t="s">
        <v>604</v>
      </c>
      <c r="C17" s="309">
        <v>685</v>
      </c>
      <c r="D17" s="517">
        <v>344</v>
      </c>
      <c r="E17" s="309">
        <v>19</v>
      </c>
      <c r="F17" s="309">
        <v>0</v>
      </c>
      <c r="G17" s="309">
        <f t="shared" si="0"/>
        <v>363</v>
      </c>
      <c r="H17" s="269" t="s">
        <v>7</v>
      </c>
    </row>
    <row r="18" spans="1:8" s="199" customFormat="1" ht="14.25">
      <c r="A18" s="201">
        <f t="shared" si="1"/>
        <v>10</v>
      </c>
      <c r="B18" s="201" t="s">
        <v>605</v>
      </c>
      <c r="C18" s="309">
        <v>1259</v>
      </c>
      <c r="D18" s="517">
        <v>419</v>
      </c>
      <c r="E18" s="309">
        <v>76</v>
      </c>
      <c r="F18" s="309">
        <v>123</v>
      </c>
      <c r="G18" s="309">
        <f t="shared" si="0"/>
        <v>618</v>
      </c>
      <c r="H18" s="269" t="s">
        <v>7</v>
      </c>
    </row>
    <row r="19" spans="1:8" s="199" customFormat="1" ht="14.25">
      <c r="A19" s="201">
        <f t="shared" si="1"/>
        <v>11</v>
      </c>
      <c r="B19" s="201" t="s">
        <v>635</v>
      </c>
      <c r="C19" s="309">
        <v>1039</v>
      </c>
      <c r="D19" s="517">
        <v>150</v>
      </c>
      <c r="E19" s="309">
        <v>11</v>
      </c>
      <c r="F19" s="309">
        <v>0</v>
      </c>
      <c r="G19" s="309">
        <f t="shared" si="0"/>
        <v>161</v>
      </c>
      <c r="H19" s="269" t="s">
        <v>7</v>
      </c>
    </row>
    <row r="20" spans="1:8" s="199" customFormat="1" ht="14.25">
      <c r="A20" s="201">
        <f t="shared" si="1"/>
        <v>12</v>
      </c>
      <c r="B20" s="201" t="s">
        <v>606</v>
      </c>
      <c r="C20" s="309">
        <v>927</v>
      </c>
      <c r="D20" s="517">
        <v>113</v>
      </c>
      <c r="E20" s="309">
        <v>0</v>
      </c>
      <c r="F20" s="309">
        <v>0</v>
      </c>
      <c r="G20" s="309">
        <f t="shared" si="0"/>
        <v>113</v>
      </c>
      <c r="H20" s="269" t="s">
        <v>7</v>
      </c>
    </row>
    <row r="21" spans="1:8" s="199" customFormat="1" ht="14.25">
      <c r="A21" s="201">
        <f t="shared" si="1"/>
        <v>13</v>
      </c>
      <c r="B21" s="201" t="s">
        <v>607</v>
      </c>
      <c r="C21" s="309">
        <v>1340</v>
      </c>
      <c r="D21" s="517">
        <v>624</v>
      </c>
      <c r="E21" s="309">
        <v>0</v>
      </c>
      <c r="F21" s="309">
        <v>0</v>
      </c>
      <c r="G21" s="309">
        <f t="shared" si="0"/>
        <v>624</v>
      </c>
      <c r="H21" s="269" t="s">
        <v>7</v>
      </c>
    </row>
    <row r="22" spans="1:8" s="199" customFormat="1" ht="14.25">
      <c r="A22" s="201">
        <f t="shared" si="1"/>
        <v>14</v>
      </c>
      <c r="B22" s="201" t="s">
        <v>636</v>
      </c>
      <c r="C22" s="309">
        <v>769</v>
      </c>
      <c r="D22" s="517">
        <v>277</v>
      </c>
      <c r="E22" s="309">
        <v>3</v>
      </c>
      <c r="F22" s="309">
        <v>0</v>
      </c>
      <c r="G22" s="309">
        <f t="shared" si="0"/>
        <v>280</v>
      </c>
      <c r="H22" s="269" t="s">
        <v>7</v>
      </c>
    </row>
    <row r="23" spans="1:8" s="199" customFormat="1" ht="14.25">
      <c r="A23" s="201">
        <f t="shared" si="1"/>
        <v>15</v>
      </c>
      <c r="B23" s="201" t="s">
        <v>608</v>
      </c>
      <c r="C23" s="309">
        <v>910</v>
      </c>
      <c r="D23" s="517">
        <v>44</v>
      </c>
      <c r="E23" s="309">
        <v>11</v>
      </c>
      <c r="F23" s="309">
        <v>13</v>
      </c>
      <c r="G23" s="309">
        <f t="shared" si="0"/>
        <v>68</v>
      </c>
      <c r="H23" s="269" t="s">
        <v>7</v>
      </c>
    </row>
    <row r="24" spans="1:8" s="199" customFormat="1" ht="14.25">
      <c r="A24" s="201">
        <f t="shared" si="1"/>
        <v>16</v>
      </c>
      <c r="B24" s="201" t="s">
        <v>609</v>
      </c>
      <c r="C24" s="309">
        <v>524</v>
      </c>
      <c r="D24" s="517">
        <v>102</v>
      </c>
      <c r="E24" s="309">
        <v>0</v>
      </c>
      <c r="F24" s="309">
        <v>0</v>
      </c>
      <c r="G24" s="309">
        <f t="shared" si="0"/>
        <v>102</v>
      </c>
      <c r="H24" s="269" t="s">
        <v>7</v>
      </c>
    </row>
    <row r="25" spans="1:8" s="199" customFormat="1" ht="14.25">
      <c r="A25" s="201">
        <f t="shared" si="1"/>
        <v>17</v>
      </c>
      <c r="B25" s="201" t="s">
        <v>610</v>
      </c>
      <c r="C25" s="309">
        <v>840</v>
      </c>
      <c r="D25" s="517">
        <v>379</v>
      </c>
      <c r="E25" s="309">
        <v>0</v>
      </c>
      <c r="F25" s="309">
        <v>0</v>
      </c>
      <c r="G25" s="309">
        <f t="shared" si="0"/>
        <v>379</v>
      </c>
      <c r="H25" s="269" t="s">
        <v>7</v>
      </c>
    </row>
    <row r="26" spans="1:8" s="199" customFormat="1" ht="14.25">
      <c r="A26" s="201">
        <f t="shared" si="1"/>
        <v>18</v>
      </c>
      <c r="B26" s="201" t="s">
        <v>611</v>
      </c>
      <c r="C26" s="309">
        <v>1427</v>
      </c>
      <c r="D26" s="517">
        <v>954</v>
      </c>
      <c r="E26" s="309">
        <v>20</v>
      </c>
      <c r="F26" s="309">
        <v>16</v>
      </c>
      <c r="G26" s="309">
        <f t="shared" si="0"/>
        <v>990</v>
      </c>
      <c r="H26" s="269" t="s">
        <v>7</v>
      </c>
    </row>
    <row r="27" spans="1:8" s="199" customFormat="1" ht="14.25">
      <c r="A27" s="201">
        <f t="shared" si="1"/>
        <v>19</v>
      </c>
      <c r="B27" s="201" t="s">
        <v>637</v>
      </c>
      <c r="C27" s="309">
        <v>784</v>
      </c>
      <c r="D27" s="517">
        <v>283</v>
      </c>
      <c r="E27" s="309">
        <v>2</v>
      </c>
      <c r="F27" s="309">
        <v>2</v>
      </c>
      <c r="G27" s="309">
        <f t="shared" si="0"/>
        <v>287</v>
      </c>
      <c r="H27" s="269" t="s">
        <v>7</v>
      </c>
    </row>
    <row r="28" spans="1:8" s="199" customFormat="1" ht="14.25">
      <c r="A28" s="201">
        <f t="shared" si="1"/>
        <v>20</v>
      </c>
      <c r="B28" s="201" t="s">
        <v>612</v>
      </c>
      <c r="C28" s="309">
        <v>1200</v>
      </c>
      <c r="D28" s="517">
        <v>571</v>
      </c>
      <c r="E28" s="309">
        <v>296</v>
      </c>
      <c r="F28" s="309">
        <v>154</v>
      </c>
      <c r="G28" s="309">
        <f t="shared" si="0"/>
        <v>1021</v>
      </c>
      <c r="H28" s="269" t="s">
        <v>7</v>
      </c>
    </row>
    <row r="29" spans="1:8" s="199" customFormat="1" ht="14.25">
      <c r="A29" s="201">
        <f t="shared" si="1"/>
        <v>21</v>
      </c>
      <c r="B29" s="201" t="s">
        <v>613</v>
      </c>
      <c r="C29" s="309">
        <v>554</v>
      </c>
      <c r="D29" s="517">
        <v>200</v>
      </c>
      <c r="E29" s="309">
        <v>9</v>
      </c>
      <c r="F29" s="309">
        <v>6</v>
      </c>
      <c r="G29" s="309">
        <f t="shared" si="0"/>
        <v>215</v>
      </c>
      <c r="H29" s="269" t="s">
        <v>7</v>
      </c>
    </row>
    <row r="30" spans="1:8" s="199" customFormat="1" ht="14.25">
      <c r="A30" s="201">
        <f t="shared" si="1"/>
        <v>22</v>
      </c>
      <c r="B30" s="201" t="s">
        <v>614</v>
      </c>
      <c r="C30" s="309">
        <v>500</v>
      </c>
      <c r="D30" s="517">
        <v>298</v>
      </c>
      <c r="E30" s="309">
        <v>49</v>
      </c>
      <c r="F30" s="309">
        <v>34</v>
      </c>
      <c r="G30" s="309">
        <f t="shared" si="0"/>
        <v>381</v>
      </c>
      <c r="H30" s="269" t="s">
        <v>7</v>
      </c>
    </row>
    <row r="31" spans="1:8" s="199" customFormat="1" ht="14.25">
      <c r="A31" s="201">
        <f t="shared" si="1"/>
        <v>23</v>
      </c>
      <c r="B31" s="201" t="s">
        <v>615</v>
      </c>
      <c r="C31" s="309">
        <v>1333</v>
      </c>
      <c r="D31" s="517">
        <v>502</v>
      </c>
      <c r="E31" s="309">
        <v>32</v>
      </c>
      <c r="F31" s="309">
        <v>0</v>
      </c>
      <c r="G31" s="309">
        <f t="shared" si="0"/>
        <v>534</v>
      </c>
      <c r="H31" s="269" t="s">
        <v>7</v>
      </c>
    </row>
    <row r="32" spans="1:8" s="199" customFormat="1" ht="14.25">
      <c r="A32" s="201">
        <f t="shared" si="1"/>
        <v>24</v>
      </c>
      <c r="B32" s="201" t="s">
        <v>616</v>
      </c>
      <c r="C32" s="309">
        <v>1288</v>
      </c>
      <c r="D32" s="517">
        <v>263</v>
      </c>
      <c r="E32" s="309">
        <v>73</v>
      </c>
      <c r="F32" s="309">
        <v>19</v>
      </c>
      <c r="G32" s="309">
        <f t="shared" si="0"/>
        <v>355</v>
      </c>
      <c r="H32" s="269" t="s">
        <v>7</v>
      </c>
    </row>
    <row r="33" spans="1:8" s="199" customFormat="1" ht="14.25">
      <c r="A33" s="201">
        <f t="shared" si="1"/>
        <v>25</v>
      </c>
      <c r="B33" s="201" t="s">
        <v>617</v>
      </c>
      <c r="C33" s="309">
        <v>994</v>
      </c>
      <c r="D33" s="517">
        <v>670</v>
      </c>
      <c r="E33" s="309">
        <v>134</v>
      </c>
      <c r="F33" s="309">
        <v>30</v>
      </c>
      <c r="G33" s="309">
        <f t="shared" si="0"/>
        <v>834</v>
      </c>
      <c r="H33" s="269" t="s">
        <v>7</v>
      </c>
    </row>
    <row r="34" spans="1:8" s="199" customFormat="1" ht="14.25">
      <c r="A34" s="201">
        <f t="shared" si="1"/>
        <v>26</v>
      </c>
      <c r="B34" s="201" t="s">
        <v>618</v>
      </c>
      <c r="C34" s="309">
        <v>971</v>
      </c>
      <c r="D34" s="517">
        <v>776</v>
      </c>
      <c r="E34" s="309">
        <v>13</v>
      </c>
      <c r="F34" s="309">
        <v>7</v>
      </c>
      <c r="G34" s="309">
        <f t="shared" si="0"/>
        <v>796</v>
      </c>
      <c r="H34" s="269" t="s">
        <v>7</v>
      </c>
    </row>
    <row r="35" spans="1:10" ht="14.25">
      <c r="A35" s="201">
        <f t="shared" si="1"/>
        <v>27</v>
      </c>
      <c r="B35" s="201" t="s">
        <v>619</v>
      </c>
      <c r="C35" s="309">
        <v>1034</v>
      </c>
      <c r="D35" s="518">
        <v>265</v>
      </c>
      <c r="E35" s="308">
        <v>168</v>
      </c>
      <c r="F35" s="308">
        <v>137</v>
      </c>
      <c r="G35" s="309">
        <f t="shared" si="0"/>
        <v>570</v>
      </c>
      <c r="H35" s="269" t="s">
        <v>7</v>
      </c>
      <c r="J35" s="199"/>
    </row>
    <row r="36" spans="1:10" ht="14.25">
      <c r="A36" s="201">
        <f t="shared" si="1"/>
        <v>28</v>
      </c>
      <c r="B36" s="143" t="s">
        <v>620</v>
      </c>
      <c r="C36" s="309">
        <v>514</v>
      </c>
      <c r="D36" s="518">
        <v>273</v>
      </c>
      <c r="E36" s="308">
        <v>111</v>
      </c>
      <c r="F36" s="308">
        <v>0</v>
      </c>
      <c r="G36" s="309">
        <f t="shared" si="0"/>
        <v>384</v>
      </c>
      <c r="H36" s="269" t="s">
        <v>7</v>
      </c>
      <c r="J36" s="199"/>
    </row>
    <row r="37" spans="1:10" ht="14.25">
      <c r="A37" s="201">
        <f t="shared" si="1"/>
        <v>29</v>
      </c>
      <c r="B37" s="143" t="s">
        <v>621</v>
      </c>
      <c r="C37" s="309">
        <v>654</v>
      </c>
      <c r="D37" s="518">
        <v>259</v>
      </c>
      <c r="E37" s="308">
        <v>12</v>
      </c>
      <c r="F37" s="308">
        <v>18</v>
      </c>
      <c r="G37" s="309">
        <f t="shared" si="0"/>
        <v>289</v>
      </c>
      <c r="H37" s="269" t="s">
        <v>7</v>
      </c>
      <c r="J37" s="199"/>
    </row>
    <row r="38" spans="1:10" ht="14.25">
      <c r="A38" s="201">
        <f t="shared" si="1"/>
        <v>30</v>
      </c>
      <c r="B38" s="143" t="s">
        <v>622</v>
      </c>
      <c r="C38" s="309">
        <v>525</v>
      </c>
      <c r="D38" s="518">
        <v>353</v>
      </c>
      <c r="E38" s="308">
        <v>7</v>
      </c>
      <c r="F38" s="308">
        <v>0</v>
      </c>
      <c r="G38" s="309">
        <f t="shared" si="0"/>
        <v>360</v>
      </c>
      <c r="H38" s="269" t="s">
        <v>7</v>
      </c>
      <c r="J38" s="199"/>
    </row>
    <row r="39" spans="1:10" ht="14.25">
      <c r="A39" s="201">
        <f t="shared" si="1"/>
        <v>31</v>
      </c>
      <c r="B39" s="143" t="s">
        <v>623</v>
      </c>
      <c r="C39" s="309">
        <v>678</v>
      </c>
      <c r="D39" s="518">
        <v>397</v>
      </c>
      <c r="E39" s="308">
        <v>0</v>
      </c>
      <c r="F39" s="308">
        <v>0</v>
      </c>
      <c r="G39" s="309">
        <f t="shared" si="0"/>
        <v>397</v>
      </c>
      <c r="H39" s="269" t="s">
        <v>7</v>
      </c>
      <c r="J39" s="199"/>
    </row>
    <row r="40" spans="1:8" ht="12.75">
      <c r="A40" s="150"/>
      <c r="B40" s="150" t="s">
        <v>624</v>
      </c>
      <c r="C40" s="194">
        <f aca="true" t="shared" si="2" ref="C40:H40">SUM(C9:C39)</f>
        <v>27732</v>
      </c>
      <c r="D40" s="194">
        <f t="shared" si="2"/>
        <v>11241</v>
      </c>
      <c r="E40" s="194">
        <f t="shared" si="2"/>
        <v>1328</v>
      </c>
      <c r="F40" s="194">
        <f t="shared" si="2"/>
        <v>1125</v>
      </c>
      <c r="G40" s="194">
        <f t="shared" si="2"/>
        <v>13694</v>
      </c>
      <c r="H40" s="194">
        <f t="shared" si="2"/>
        <v>0</v>
      </c>
    </row>
    <row r="42" spans="1:14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5" spans="4:8" ht="15.75">
      <c r="D45" s="621" t="s">
        <v>860</v>
      </c>
      <c r="E45" s="621"/>
      <c r="F45" s="621"/>
      <c r="G45" s="621"/>
      <c r="H45" s="621"/>
    </row>
    <row r="46" spans="4:8" ht="15.75">
      <c r="D46" s="621" t="s">
        <v>653</v>
      </c>
      <c r="E46" s="621"/>
      <c r="F46" s="621"/>
      <c r="G46" s="621"/>
      <c r="H46" s="621"/>
    </row>
  </sheetData>
  <sheetProtection/>
  <mergeCells count="6">
    <mergeCell ref="D45:H45"/>
    <mergeCell ref="D46:H46"/>
    <mergeCell ref="A1:F1"/>
    <mergeCell ref="A2:H2"/>
    <mergeCell ref="A4:H4"/>
    <mergeCell ref="F6:H6"/>
  </mergeCells>
  <printOptions horizontalCentered="1"/>
  <pageMargins left="0.41" right="0.51" top="0.51" bottom="0" header="0.31496062992125984" footer="0.31496062992125984"/>
  <pageSetup fitToHeight="1" fitToWidth="1"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55" zoomScaleNormal="85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9.140625" style="6" customWidth="1"/>
    <col min="2" max="2" width="23.57421875" style="6" customWidth="1"/>
    <col min="3" max="3" width="14.00390625" style="6" customWidth="1"/>
    <col min="4" max="4" width="18.421875" style="6" customWidth="1"/>
    <col min="5" max="6" width="10.28125" style="6" customWidth="1"/>
    <col min="7" max="7" width="13.28125" style="6" customWidth="1"/>
    <col min="8" max="8" width="13.57421875" style="6" customWidth="1"/>
    <col min="9" max="16384" width="9.140625" style="6" customWidth="1"/>
  </cols>
  <sheetData>
    <row r="1" spans="1:8" ht="15.75">
      <c r="A1" s="562" t="s">
        <v>0</v>
      </c>
      <c r="B1" s="562"/>
      <c r="C1" s="562"/>
      <c r="D1" s="562"/>
      <c r="E1" s="562"/>
      <c r="F1" s="562"/>
      <c r="H1" s="199" t="s">
        <v>676</v>
      </c>
    </row>
    <row r="2" spans="1:7" ht="20.25">
      <c r="A2" s="563" t="s">
        <v>695</v>
      </c>
      <c r="B2" s="563"/>
      <c r="C2" s="563"/>
      <c r="D2" s="563"/>
      <c r="E2" s="563"/>
      <c r="F2" s="563"/>
      <c r="G2" s="563"/>
    </row>
    <row r="3" ht="9" customHeight="1"/>
    <row r="4" spans="1:7" ht="18" customHeight="1">
      <c r="A4" s="639" t="s">
        <v>796</v>
      </c>
      <c r="B4" s="639"/>
      <c r="C4" s="639"/>
      <c r="D4" s="639"/>
      <c r="E4" s="639"/>
      <c r="F4" s="639"/>
      <c r="G4" s="639"/>
    </row>
    <row r="5" spans="1:2" ht="12.75">
      <c r="A5" s="76" t="s">
        <v>677</v>
      </c>
      <c r="B5" s="76"/>
    </row>
    <row r="6" spans="1:8" ht="12.75">
      <c r="A6" s="76"/>
      <c r="B6" s="76"/>
      <c r="F6" s="640" t="s">
        <v>797</v>
      </c>
      <c r="G6" s="640"/>
      <c r="H6" s="640"/>
    </row>
    <row r="7" spans="1:8" s="379" customFormat="1" ht="64.5" customHeight="1">
      <c r="A7" s="424" t="s">
        <v>2</v>
      </c>
      <c r="B7" s="424" t="s">
        <v>3</v>
      </c>
      <c r="C7" s="435" t="s">
        <v>798</v>
      </c>
      <c r="D7" s="435" t="s">
        <v>799</v>
      </c>
      <c r="E7" s="435" t="s">
        <v>800</v>
      </c>
      <c r="F7" s="435" t="s">
        <v>801</v>
      </c>
      <c r="G7" s="436" t="s">
        <v>802</v>
      </c>
      <c r="H7" s="428" t="s">
        <v>803</v>
      </c>
    </row>
    <row r="8" spans="1:8" s="434" customFormat="1" ht="15" customHeight="1">
      <c r="A8" s="284" t="s">
        <v>259</v>
      </c>
      <c r="B8" s="284" t="s">
        <v>260</v>
      </c>
      <c r="C8" s="284" t="s">
        <v>261</v>
      </c>
      <c r="D8" s="284" t="s">
        <v>262</v>
      </c>
      <c r="E8" s="284" t="s">
        <v>263</v>
      </c>
      <c r="F8" s="284" t="s">
        <v>264</v>
      </c>
      <c r="G8" s="437" t="s">
        <v>265</v>
      </c>
      <c r="H8" s="438">
        <v>8</v>
      </c>
    </row>
    <row r="9" spans="1:10" s="199" customFormat="1" ht="14.25">
      <c r="A9" s="201">
        <v>1</v>
      </c>
      <c r="B9" s="201" t="s">
        <v>633</v>
      </c>
      <c r="C9" s="483">
        <v>1843</v>
      </c>
      <c r="D9" s="309">
        <v>1843</v>
      </c>
      <c r="E9" s="309">
        <v>18</v>
      </c>
      <c r="F9" s="269" t="s">
        <v>848</v>
      </c>
      <c r="G9" s="479" t="s">
        <v>689</v>
      </c>
      <c r="H9" s="480" t="s">
        <v>849</v>
      </c>
      <c r="J9" s="485"/>
    </row>
    <row r="10" spans="1:10" s="199" customFormat="1" ht="14.25">
      <c r="A10" s="201">
        <f>A9+1</f>
        <v>2</v>
      </c>
      <c r="B10" s="201" t="s">
        <v>598</v>
      </c>
      <c r="C10" s="483">
        <v>2225</v>
      </c>
      <c r="D10" s="309">
        <v>2225</v>
      </c>
      <c r="E10" s="309">
        <v>23</v>
      </c>
      <c r="F10" s="269" t="s">
        <v>848</v>
      </c>
      <c r="G10" s="479" t="s">
        <v>689</v>
      </c>
      <c r="H10" s="480" t="s">
        <v>849</v>
      </c>
      <c r="J10" s="485"/>
    </row>
    <row r="11" spans="1:10" s="199" customFormat="1" ht="14.25">
      <c r="A11" s="201">
        <f aca="true" t="shared" si="0" ref="A11:A39">A10+1</f>
        <v>3</v>
      </c>
      <c r="B11" s="201" t="s">
        <v>634</v>
      </c>
      <c r="C11" s="483">
        <v>1159</v>
      </c>
      <c r="D11" s="309">
        <v>0</v>
      </c>
      <c r="E11" s="309">
        <v>0</v>
      </c>
      <c r="F11" s="269" t="s">
        <v>848</v>
      </c>
      <c r="G11" s="479" t="s">
        <v>689</v>
      </c>
      <c r="H11" s="480" t="s">
        <v>849</v>
      </c>
      <c r="J11" s="485"/>
    </row>
    <row r="12" spans="1:10" s="199" customFormat="1" ht="14.25">
      <c r="A12" s="201">
        <f t="shared" si="0"/>
        <v>4</v>
      </c>
      <c r="B12" s="201" t="s">
        <v>599</v>
      </c>
      <c r="C12" s="483">
        <v>1566</v>
      </c>
      <c r="D12" s="309">
        <v>1352</v>
      </c>
      <c r="E12" s="309">
        <v>18</v>
      </c>
      <c r="F12" s="269" t="s">
        <v>848</v>
      </c>
      <c r="G12" s="479" t="s">
        <v>689</v>
      </c>
      <c r="H12" s="480" t="s">
        <v>849</v>
      </c>
      <c r="J12" s="485"/>
    </row>
    <row r="13" spans="1:10" s="199" customFormat="1" ht="14.25">
      <c r="A13" s="201">
        <f t="shared" si="0"/>
        <v>5</v>
      </c>
      <c r="B13" s="201" t="s">
        <v>600</v>
      </c>
      <c r="C13" s="483">
        <v>1092</v>
      </c>
      <c r="D13" s="309">
        <v>583</v>
      </c>
      <c r="E13" s="309">
        <v>13</v>
      </c>
      <c r="F13" s="269" t="s">
        <v>848</v>
      </c>
      <c r="G13" s="479" t="s">
        <v>851</v>
      </c>
      <c r="H13" s="480" t="s">
        <v>849</v>
      </c>
      <c r="J13" s="485"/>
    </row>
    <row r="14" spans="1:10" s="199" customFormat="1" ht="14.25">
      <c r="A14" s="201">
        <f t="shared" si="0"/>
        <v>6</v>
      </c>
      <c r="B14" s="201" t="s">
        <v>601</v>
      </c>
      <c r="C14" s="483">
        <v>1420</v>
      </c>
      <c r="D14" s="309">
        <v>1015</v>
      </c>
      <c r="E14" s="309">
        <v>20</v>
      </c>
      <c r="F14" s="269" t="s">
        <v>848</v>
      </c>
      <c r="G14" s="479" t="s">
        <v>689</v>
      </c>
      <c r="H14" s="480" t="s">
        <v>849</v>
      </c>
      <c r="J14" s="485"/>
    </row>
    <row r="15" spans="1:10" s="199" customFormat="1" ht="14.25">
      <c r="A15" s="201">
        <f t="shared" si="0"/>
        <v>7</v>
      </c>
      <c r="B15" s="201" t="s">
        <v>602</v>
      </c>
      <c r="C15" s="483">
        <v>1204</v>
      </c>
      <c r="D15" s="309">
        <v>246</v>
      </c>
      <c r="E15" s="309">
        <v>12</v>
      </c>
      <c r="F15" s="269" t="s">
        <v>848</v>
      </c>
      <c r="G15" s="479" t="s">
        <v>689</v>
      </c>
      <c r="H15" s="480" t="s">
        <v>849</v>
      </c>
      <c r="J15" s="485"/>
    </row>
    <row r="16" spans="1:10" s="199" customFormat="1" ht="14.25">
      <c r="A16" s="201">
        <f t="shared" si="0"/>
        <v>8</v>
      </c>
      <c r="B16" s="201" t="s">
        <v>603</v>
      </c>
      <c r="C16" s="483">
        <v>2002</v>
      </c>
      <c r="D16" s="309">
        <v>1419</v>
      </c>
      <c r="E16" s="309">
        <v>22</v>
      </c>
      <c r="F16" s="269" t="s">
        <v>848</v>
      </c>
      <c r="G16" s="479" t="s">
        <v>689</v>
      </c>
      <c r="H16" s="480" t="s">
        <v>849</v>
      </c>
      <c r="J16" s="485"/>
    </row>
    <row r="17" spans="1:10" ht="14.25">
      <c r="A17" s="201">
        <f t="shared" si="0"/>
        <v>9</v>
      </c>
      <c r="B17" s="201" t="s">
        <v>604</v>
      </c>
      <c r="C17" s="483">
        <v>1134</v>
      </c>
      <c r="D17" s="308">
        <v>1134</v>
      </c>
      <c r="E17" s="308">
        <v>16</v>
      </c>
      <c r="F17" s="269" t="s">
        <v>848</v>
      </c>
      <c r="G17" s="479" t="s">
        <v>689</v>
      </c>
      <c r="H17" s="480" t="s">
        <v>849</v>
      </c>
      <c r="J17" s="485"/>
    </row>
    <row r="18" spans="1:10" ht="14.25">
      <c r="A18" s="201">
        <f t="shared" si="0"/>
        <v>10</v>
      </c>
      <c r="B18" s="201" t="s">
        <v>605</v>
      </c>
      <c r="C18" s="483">
        <v>2434</v>
      </c>
      <c r="D18" s="308">
        <v>2434</v>
      </c>
      <c r="E18" s="308">
        <v>21</v>
      </c>
      <c r="F18" s="269" t="s">
        <v>848</v>
      </c>
      <c r="G18" s="479" t="s">
        <v>689</v>
      </c>
      <c r="H18" s="480" t="s">
        <v>849</v>
      </c>
      <c r="J18" s="485"/>
    </row>
    <row r="19" spans="1:10" ht="14.25">
      <c r="A19" s="201">
        <f t="shared" si="0"/>
        <v>11</v>
      </c>
      <c r="B19" s="201" t="s">
        <v>635</v>
      </c>
      <c r="C19" s="483">
        <v>1581</v>
      </c>
      <c r="D19" s="308">
        <v>1581</v>
      </c>
      <c r="E19" s="308">
        <v>30</v>
      </c>
      <c r="F19" s="269" t="s">
        <v>848</v>
      </c>
      <c r="G19" s="479" t="s">
        <v>689</v>
      </c>
      <c r="H19" s="480" t="s">
        <v>849</v>
      </c>
      <c r="J19" s="485"/>
    </row>
    <row r="20" spans="1:10" ht="14.25" customHeight="1">
      <c r="A20" s="201">
        <f t="shared" si="0"/>
        <v>12</v>
      </c>
      <c r="B20" s="201" t="s">
        <v>606</v>
      </c>
      <c r="C20" s="483">
        <v>1700</v>
      </c>
      <c r="D20" s="308">
        <v>925</v>
      </c>
      <c r="E20" s="308">
        <v>32</v>
      </c>
      <c r="F20" s="269" t="s">
        <v>848</v>
      </c>
      <c r="G20" s="479" t="s">
        <v>689</v>
      </c>
      <c r="H20" s="480" t="s">
        <v>849</v>
      </c>
      <c r="J20" s="485"/>
    </row>
    <row r="21" spans="1:10" ht="14.25">
      <c r="A21" s="201">
        <f t="shared" si="0"/>
        <v>13</v>
      </c>
      <c r="B21" s="201" t="s">
        <v>607</v>
      </c>
      <c r="C21" s="483">
        <v>3489</v>
      </c>
      <c r="D21" s="308">
        <v>3489</v>
      </c>
      <c r="E21" s="308">
        <v>26</v>
      </c>
      <c r="F21" s="269" t="s">
        <v>848</v>
      </c>
      <c r="G21" s="479" t="s">
        <v>689</v>
      </c>
      <c r="H21" s="480" t="s">
        <v>849</v>
      </c>
      <c r="J21" s="485"/>
    </row>
    <row r="22" spans="1:10" ht="12" customHeight="1">
      <c r="A22" s="201">
        <f t="shared" si="0"/>
        <v>14</v>
      </c>
      <c r="B22" s="201" t="s">
        <v>636</v>
      </c>
      <c r="C22" s="483">
        <v>1290</v>
      </c>
      <c r="D22" s="308">
        <v>1290</v>
      </c>
      <c r="E22" s="308">
        <v>36</v>
      </c>
      <c r="F22" s="269" t="s">
        <v>848</v>
      </c>
      <c r="G22" s="479" t="s">
        <v>689</v>
      </c>
      <c r="H22" s="480" t="s">
        <v>849</v>
      </c>
      <c r="J22" s="485"/>
    </row>
    <row r="23" spans="1:10" ht="14.25">
      <c r="A23" s="201">
        <f t="shared" si="0"/>
        <v>15</v>
      </c>
      <c r="B23" s="201" t="s">
        <v>608</v>
      </c>
      <c r="C23" s="483">
        <v>2325</v>
      </c>
      <c r="D23" s="308">
        <v>1706</v>
      </c>
      <c r="E23" s="308">
        <v>20</v>
      </c>
      <c r="F23" s="269" t="s">
        <v>848</v>
      </c>
      <c r="G23" s="479" t="s">
        <v>689</v>
      </c>
      <c r="H23" s="480" t="s">
        <v>849</v>
      </c>
      <c r="J23" s="485"/>
    </row>
    <row r="24" spans="1:10" ht="14.25">
      <c r="A24" s="201">
        <f t="shared" si="0"/>
        <v>16</v>
      </c>
      <c r="B24" s="201" t="s">
        <v>609</v>
      </c>
      <c r="C24" s="483">
        <v>1159</v>
      </c>
      <c r="D24" s="308">
        <v>1159</v>
      </c>
      <c r="E24" s="308">
        <v>14</v>
      </c>
      <c r="F24" s="269" t="s">
        <v>848</v>
      </c>
      <c r="G24" s="479" t="s">
        <v>689</v>
      </c>
      <c r="H24" s="480" t="s">
        <v>849</v>
      </c>
      <c r="J24" s="485"/>
    </row>
    <row r="25" spans="1:10" ht="14.25">
      <c r="A25" s="201">
        <f t="shared" si="0"/>
        <v>17</v>
      </c>
      <c r="B25" s="201" t="s">
        <v>610</v>
      </c>
      <c r="C25" s="483">
        <v>1863</v>
      </c>
      <c r="D25" s="292">
        <v>1863</v>
      </c>
      <c r="E25" s="292">
        <v>20</v>
      </c>
      <c r="F25" s="269" t="s">
        <v>848</v>
      </c>
      <c r="G25" s="479" t="s">
        <v>689</v>
      </c>
      <c r="H25" s="480" t="s">
        <v>849</v>
      </c>
      <c r="J25" s="485"/>
    </row>
    <row r="26" spans="1:10" ht="14.25">
      <c r="A26" s="201">
        <f t="shared" si="0"/>
        <v>18</v>
      </c>
      <c r="B26" s="201" t="s">
        <v>611</v>
      </c>
      <c r="C26" s="483">
        <v>2903</v>
      </c>
      <c r="D26" s="292">
        <v>2661</v>
      </c>
      <c r="E26" s="292">
        <v>31</v>
      </c>
      <c r="F26" s="269" t="s">
        <v>848</v>
      </c>
      <c r="G26" s="479" t="s">
        <v>689</v>
      </c>
      <c r="H26" s="480" t="s">
        <v>849</v>
      </c>
      <c r="J26" s="485"/>
    </row>
    <row r="27" spans="1:10" ht="14.25">
      <c r="A27" s="201">
        <f t="shared" si="0"/>
        <v>19</v>
      </c>
      <c r="B27" s="201" t="s">
        <v>637</v>
      </c>
      <c r="C27" s="483">
        <v>1286</v>
      </c>
      <c r="D27" s="292">
        <v>1286</v>
      </c>
      <c r="E27" s="292">
        <v>19</v>
      </c>
      <c r="F27" s="269" t="s">
        <v>848</v>
      </c>
      <c r="G27" s="479" t="s">
        <v>689</v>
      </c>
      <c r="H27" s="480" t="s">
        <v>849</v>
      </c>
      <c r="J27" s="485"/>
    </row>
    <row r="28" spans="1:10" ht="14.25">
      <c r="A28" s="201">
        <f t="shared" si="0"/>
        <v>20</v>
      </c>
      <c r="B28" s="201" t="s">
        <v>612</v>
      </c>
      <c r="C28" s="483">
        <v>2283</v>
      </c>
      <c r="D28" s="292">
        <v>2283</v>
      </c>
      <c r="E28" s="292">
        <v>22</v>
      </c>
      <c r="F28" s="269" t="s">
        <v>848</v>
      </c>
      <c r="G28" s="479" t="s">
        <v>689</v>
      </c>
      <c r="H28" s="480" t="s">
        <v>849</v>
      </c>
      <c r="J28" s="485"/>
    </row>
    <row r="29" spans="1:10" ht="14.25">
      <c r="A29" s="201">
        <f t="shared" si="0"/>
        <v>21</v>
      </c>
      <c r="B29" s="201" t="s">
        <v>613</v>
      </c>
      <c r="C29" s="483">
        <v>1123</v>
      </c>
      <c r="D29" s="484">
        <v>1123</v>
      </c>
      <c r="E29" s="484">
        <v>14</v>
      </c>
      <c r="F29" s="269" t="s">
        <v>848</v>
      </c>
      <c r="G29" s="479" t="s">
        <v>689</v>
      </c>
      <c r="H29" s="480" t="s">
        <v>849</v>
      </c>
      <c r="I29" s="170"/>
      <c r="J29" s="485"/>
    </row>
    <row r="30" spans="1:10" ht="14.25">
      <c r="A30" s="201">
        <f t="shared" si="0"/>
        <v>22</v>
      </c>
      <c r="B30" s="201" t="s">
        <v>614</v>
      </c>
      <c r="C30" s="483">
        <v>863</v>
      </c>
      <c r="D30" s="484">
        <v>863</v>
      </c>
      <c r="E30" s="484">
        <v>9</v>
      </c>
      <c r="F30" s="269" t="s">
        <v>848</v>
      </c>
      <c r="G30" s="479" t="s">
        <v>689</v>
      </c>
      <c r="H30" s="480" t="s">
        <v>849</v>
      </c>
      <c r="I30" s="170"/>
      <c r="J30" s="485"/>
    </row>
    <row r="31" spans="1:10" ht="12.75" customHeight="1">
      <c r="A31" s="201">
        <f t="shared" si="0"/>
        <v>23</v>
      </c>
      <c r="B31" s="201" t="s">
        <v>615</v>
      </c>
      <c r="C31" s="483">
        <v>2693</v>
      </c>
      <c r="D31" s="484">
        <v>1333</v>
      </c>
      <c r="E31" s="484">
        <v>27</v>
      </c>
      <c r="F31" s="269" t="s">
        <v>848</v>
      </c>
      <c r="G31" s="479" t="s">
        <v>689</v>
      </c>
      <c r="H31" s="480" t="s">
        <v>849</v>
      </c>
      <c r="I31" s="439"/>
      <c r="J31" s="485"/>
    </row>
    <row r="32" spans="1:10" ht="14.25">
      <c r="A32" s="201">
        <f t="shared" si="0"/>
        <v>24</v>
      </c>
      <c r="B32" s="201" t="s">
        <v>616</v>
      </c>
      <c r="C32" s="483">
        <v>2660</v>
      </c>
      <c r="D32" s="484">
        <v>1860</v>
      </c>
      <c r="E32" s="484">
        <v>26</v>
      </c>
      <c r="F32" s="269" t="s">
        <v>848</v>
      </c>
      <c r="G32" s="479" t="s">
        <v>689</v>
      </c>
      <c r="H32" s="480" t="s">
        <v>849</v>
      </c>
      <c r="I32" s="440"/>
      <c r="J32" s="485"/>
    </row>
    <row r="33" spans="1:13" ht="14.25">
      <c r="A33" s="201">
        <f t="shared" si="0"/>
        <v>25</v>
      </c>
      <c r="B33" s="201" t="s">
        <v>617</v>
      </c>
      <c r="C33" s="483">
        <v>2051</v>
      </c>
      <c r="D33" s="484">
        <v>2051</v>
      </c>
      <c r="E33" s="484">
        <v>22</v>
      </c>
      <c r="F33" s="269" t="s">
        <v>848</v>
      </c>
      <c r="G33" s="479" t="s">
        <v>689</v>
      </c>
      <c r="H33" s="480" t="s">
        <v>849</v>
      </c>
      <c r="I33" s="137"/>
      <c r="J33" s="485"/>
      <c r="K33" s="137"/>
      <c r="L33" s="137"/>
      <c r="M33" s="137"/>
    </row>
    <row r="34" spans="1:10" ht="14.25">
      <c r="A34" s="201">
        <f t="shared" si="0"/>
        <v>26</v>
      </c>
      <c r="B34" s="201" t="s">
        <v>618</v>
      </c>
      <c r="C34" s="483">
        <v>1892</v>
      </c>
      <c r="D34" s="292">
        <v>1367</v>
      </c>
      <c r="E34" s="292">
        <v>23</v>
      </c>
      <c r="F34" s="269" t="s">
        <v>848</v>
      </c>
      <c r="G34" s="479" t="s">
        <v>689</v>
      </c>
      <c r="H34" s="480" t="s">
        <v>849</v>
      </c>
      <c r="J34" s="485"/>
    </row>
    <row r="35" spans="1:10" ht="14.25">
      <c r="A35" s="201">
        <f t="shared" si="0"/>
        <v>27</v>
      </c>
      <c r="B35" s="201" t="s">
        <v>619</v>
      </c>
      <c r="C35" s="483">
        <v>1949</v>
      </c>
      <c r="D35" s="292">
        <v>1949</v>
      </c>
      <c r="E35" s="292">
        <v>18</v>
      </c>
      <c r="F35" s="269" t="s">
        <v>848</v>
      </c>
      <c r="G35" s="479" t="s">
        <v>689</v>
      </c>
      <c r="H35" s="480" t="s">
        <v>849</v>
      </c>
      <c r="J35" s="485"/>
    </row>
    <row r="36" spans="1:10" ht="14.25">
      <c r="A36" s="201">
        <f t="shared" si="0"/>
        <v>28</v>
      </c>
      <c r="B36" s="143" t="s">
        <v>620</v>
      </c>
      <c r="C36" s="483">
        <v>1226</v>
      </c>
      <c r="D36" s="292">
        <v>565</v>
      </c>
      <c r="E36" s="292">
        <v>28</v>
      </c>
      <c r="F36" s="269" t="s">
        <v>848</v>
      </c>
      <c r="G36" s="479" t="s">
        <v>689</v>
      </c>
      <c r="H36" s="480" t="s">
        <v>849</v>
      </c>
      <c r="J36" s="485"/>
    </row>
    <row r="37" spans="1:10" ht="14.25">
      <c r="A37" s="201">
        <f t="shared" si="0"/>
        <v>29</v>
      </c>
      <c r="B37" s="143" t="s">
        <v>621</v>
      </c>
      <c r="C37" s="483">
        <v>1332</v>
      </c>
      <c r="D37" s="292">
        <v>1072</v>
      </c>
      <c r="E37" s="292">
        <v>15</v>
      </c>
      <c r="F37" s="269" t="s">
        <v>848</v>
      </c>
      <c r="G37" s="479" t="s">
        <v>689</v>
      </c>
      <c r="H37" s="480" t="s">
        <v>849</v>
      </c>
      <c r="J37" s="485"/>
    </row>
    <row r="38" spans="1:10" ht="14.25">
      <c r="A38" s="201">
        <f t="shared" si="0"/>
        <v>30</v>
      </c>
      <c r="B38" s="143" t="s">
        <v>622</v>
      </c>
      <c r="C38" s="483">
        <v>1089</v>
      </c>
      <c r="D38" s="292">
        <v>1088</v>
      </c>
      <c r="E38" s="292">
        <v>22</v>
      </c>
      <c r="F38" s="269" t="s">
        <v>848</v>
      </c>
      <c r="G38" s="479" t="s">
        <v>689</v>
      </c>
      <c r="H38" s="480" t="s">
        <v>849</v>
      </c>
      <c r="J38" s="485"/>
    </row>
    <row r="39" spans="1:10" ht="14.25">
      <c r="A39" s="201">
        <f t="shared" si="0"/>
        <v>31</v>
      </c>
      <c r="B39" s="143" t="s">
        <v>623</v>
      </c>
      <c r="C39" s="483">
        <v>1396</v>
      </c>
      <c r="D39" s="292">
        <v>1154</v>
      </c>
      <c r="E39" s="292">
        <v>16</v>
      </c>
      <c r="F39" s="269" t="s">
        <v>848</v>
      </c>
      <c r="G39" s="479" t="s">
        <v>689</v>
      </c>
      <c r="H39" s="480" t="s">
        <v>849</v>
      </c>
      <c r="J39" s="485"/>
    </row>
    <row r="40" spans="1:8" ht="12.75">
      <c r="A40" s="150"/>
      <c r="B40" s="150" t="s">
        <v>624</v>
      </c>
      <c r="C40" s="293">
        <f>SUM(C9:C39)</f>
        <v>54232</v>
      </c>
      <c r="D40" s="17">
        <f>SUM(D9:D39)</f>
        <v>44919</v>
      </c>
      <c r="E40" s="17">
        <f>SUM(E9:E39)</f>
        <v>633</v>
      </c>
      <c r="F40" s="17"/>
      <c r="G40" s="17"/>
      <c r="H40" s="17"/>
    </row>
    <row r="43" spans="6:8" ht="12.75">
      <c r="F43" s="744" t="s">
        <v>860</v>
      </c>
      <c r="G43" s="744"/>
      <c r="H43" s="744"/>
    </row>
    <row r="44" spans="6:8" ht="12.75">
      <c r="F44" s="743" t="s">
        <v>804</v>
      </c>
      <c r="G44" s="743"/>
      <c r="H44" s="743"/>
    </row>
    <row r="45" spans="6:8" ht="12.75">
      <c r="F45" s="137"/>
      <c r="G45" s="137"/>
      <c r="H45" s="137"/>
    </row>
  </sheetData>
  <sheetProtection/>
  <mergeCells count="6">
    <mergeCell ref="F44:H44"/>
    <mergeCell ref="F43:H43"/>
    <mergeCell ref="A1:F1"/>
    <mergeCell ref="A2:G2"/>
    <mergeCell ref="A4:G4"/>
    <mergeCell ref="F6:H6"/>
  </mergeCells>
  <printOptions horizontalCentered="1"/>
  <pageMargins left="0.55" right="0.27" top="0.43" bottom="0.26" header="0.314960629921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55" zoomScalePageLayoutView="0" workbookViewId="0" topLeftCell="A13">
      <selection activeCell="A27" sqref="A27"/>
    </sheetView>
  </sheetViews>
  <sheetFormatPr defaultColWidth="9.140625" defaultRowHeight="12.75"/>
  <cols>
    <col min="1" max="1" width="10.28125" style="6" customWidth="1"/>
    <col min="2" max="2" width="12.00390625" style="6" customWidth="1"/>
    <col min="3" max="3" width="16.28125" style="6" customWidth="1"/>
    <col min="4" max="4" width="15.8515625" style="6" customWidth="1"/>
    <col min="5" max="5" width="11.57421875" style="6" customWidth="1"/>
    <col min="6" max="6" width="15.00390625" style="6" customWidth="1"/>
    <col min="7" max="7" width="9.7109375" style="6" customWidth="1"/>
    <col min="8" max="8" width="15.140625" style="6" customWidth="1"/>
    <col min="9" max="9" width="16.57421875" style="6" customWidth="1"/>
    <col min="10" max="10" width="18.28125" style="6" customWidth="1"/>
    <col min="11" max="11" width="14.140625" style="6" customWidth="1"/>
    <col min="12" max="16384" width="9.140625" style="6" customWidth="1"/>
  </cols>
  <sheetData>
    <row r="1" spans="4:10" ht="15">
      <c r="D1" s="560"/>
      <c r="E1" s="560"/>
      <c r="H1" s="25"/>
      <c r="I1" s="641" t="s">
        <v>64</v>
      </c>
      <c r="J1" s="641"/>
    </row>
    <row r="2" spans="1:10" ht="1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0.5" customHeight="1"/>
    <row r="5" spans="1:11" ht="24.75" customHeight="1">
      <c r="A5" s="746" t="s">
        <v>429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</row>
    <row r="6" spans="1:10" ht="15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1" ht="12.75">
      <c r="A7" s="559" t="s">
        <v>665</v>
      </c>
      <c r="B7" s="559"/>
      <c r="E7" s="711"/>
      <c r="F7" s="711"/>
      <c r="G7" s="711"/>
      <c r="H7" s="711"/>
      <c r="I7" s="711" t="s">
        <v>751</v>
      </c>
      <c r="J7" s="711"/>
      <c r="K7" s="711"/>
    </row>
    <row r="8" spans="3:10" s="4" customFormat="1" ht="15.75" hidden="1">
      <c r="C8" s="719" t="s">
        <v>13</v>
      </c>
      <c r="D8" s="719"/>
      <c r="E8" s="719"/>
      <c r="F8" s="719"/>
      <c r="G8" s="719"/>
      <c r="H8" s="719"/>
      <c r="I8" s="719"/>
      <c r="J8" s="719"/>
    </row>
    <row r="9" spans="1:19" ht="44.25" customHeight="1">
      <c r="A9" s="642" t="s">
        <v>20</v>
      </c>
      <c r="B9" s="642" t="s">
        <v>54</v>
      </c>
      <c r="C9" s="537" t="s">
        <v>457</v>
      </c>
      <c r="D9" s="539"/>
      <c r="E9" s="537" t="s">
        <v>34</v>
      </c>
      <c r="F9" s="539"/>
      <c r="G9" s="537" t="s">
        <v>35</v>
      </c>
      <c r="H9" s="539"/>
      <c r="I9" s="530" t="s">
        <v>100</v>
      </c>
      <c r="J9" s="530"/>
      <c r="K9" s="642" t="s">
        <v>508</v>
      </c>
      <c r="R9" s="8"/>
      <c r="S9" s="10"/>
    </row>
    <row r="10" spans="1:11" s="5" customFormat="1" ht="42" customHeight="1">
      <c r="A10" s="643"/>
      <c r="B10" s="643"/>
      <c r="C10" s="1" t="s">
        <v>36</v>
      </c>
      <c r="D10" s="1" t="s">
        <v>99</v>
      </c>
      <c r="E10" s="1" t="s">
        <v>36</v>
      </c>
      <c r="F10" s="1" t="s">
        <v>99</v>
      </c>
      <c r="G10" s="1" t="s">
        <v>36</v>
      </c>
      <c r="H10" s="1" t="s">
        <v>99</v>
      </c>
      <c r="I10" s="1" t="s">
        <v>132</v>
      </c>
      <c r="J10" s="1" t="s">
        <v>133</v>
      </c>
      <c r="K10" s="643"/>
    </row>
    <row r="11" spans="1:11" ht="12.7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144">
        <v>11</v>
      </c>
    </row>
    <row r="12" spans="1:11" ht="17.25" customHeight="1">
      <c r="A12" s="143">
        <v>1</v>
      </c>
      <c r="B12" s="143" t="s">
        <v>364</v>
      </c>
      <c r="C12" s="376"/>
      <c r="D12" s="376"/>
      <c r="E12" s="376"/>
      <c r="F12" s="376"/>
      <c r="G12" s="376"/>
      <c r="H12" s="376"/>
      <c r="I12" s="376">
        <f>C12-E12-G12</f>
        <v>0</v>
      </c>
      <c r="J12" s="376">
        <f aca="true" t="shared" si="0" ref="J12:J24">D12-F12-H12</f>
        <v>0</v>
      </c>
      <c r="K12" s="590" t="s">
        <v>873</v>
      </c>
    </row>
    <row r="13" spans="1:11" ht="17.25" customHeight="1">
      <c r="A13" s="143">
        <v>2</v>
      </c>
      <c r="B13" s="143" t="s">
        <v>365</v>
      </c>
      <c r="C13" s="376"/>
      <c r="D13" s="376"/>
      <c r="E13" s="376"/>
      <c r="F13" s="376"/>
      <c r="G13" s="376"/>
      <c r="H13" s="376"/>
      <c r="I13" s="376">
        <f aca="true" t="shared" si="1" ref="I13:I24">C13-E13-G13</f>
        <v>0</v>
      </c>
      <c r="J13" s="376">
        <f t="shared" si="0"/>
        <v>0</v>
      </c>
      <c r="K13" s="745"/>
    </row>
    <row r="14" spans="1:11" ht="17.25" customHeight="1">
      <c r="A14" s="143">
        <v>3</v>
      </c>
      <c r="B14" s="143" t="s">
        <v>366</v>
      </c>
      <c r="C14" s="376"/>
      <c r="D14" s="376"/>
      <c r="E14" s="376"/>
      <c r="F14" s="376"/>
      <c r="G14" s="376"/>
      <c r="H14" s="376"/>
      <c r="I14" s="376">
        <f t="shared" si="1"/>
        <v>0</v>
      </c>
      <c r="J14" s="376">
        <f t="shared" si="0"/>
        <v>0</v>
      </c>
      <c r="K14" s="745"/>
    </row>
    <row r="15" spans="1:11" ht="17.25" customHeight="1">
      <c r="A15" s="143">
        <v>4</v>
      </c>
      <c r="B15" s="143" t="s">
        <v>367</v>
      </c>
      <c r="C15" s="376"/>
      <c r="D15" s="376"/>
      <c r="E15" s="376"/>
      <c r="F15" s="376"/>
      <c r="G15" s="376"/>
      <c r="H15" s="376"/>
      <c r="I15" s="376">
        <f t="shared" si="1"/>
        <v>0</v>
      </c>
      <c r="J15" s="376">
        <f t="shared" si="0"/>
        <v>0</v>
      </c>
      <c r="K15" s="745"/>
    </row>
    <row r="16" spans="1:11" ht="17.25" customHeight="1">
      <c r="A16" s="143">
        <v>5</v>
      </c>
      <c r="B16" s="143" t="s">
        <v>368</v>
      </c>
      <c r="C16" s="376"/>
      <c r="D16" s="376"/>
      <c r="E16" s="376"/>
      <c r="F16" s="376"/>
      <c r="G16" s="376"/>
      <c r="H16" s="376"/>
      <c r="I16" s="376">
        <f t="shared" si="1"/>
        <v>0</v>
      </c>
      <c r="J16" s="376">
        <f t="shared" si="0"/>
        <v>0</v>
      </c>
      <c r="K16" s="745"/>
    </row>
    <row r="17" spans="1:11" ht="17.25" customHeight="1">
      <c r="A17" s="143">
        <v>6</v>
      </c>
      <c r="B17" s="143" t="s">
        <v>369</v>
      </c>
      <c r="C17" s="376"/>
      <c r="D17" s="376"/>
      <c r="E17" s="376"/>
      <c r="F17" s="376"/>
      <c r="G17" s="376"/>
      <c r="H17" s="376"/>
      <c r="I17" s="376">
        <f t="shared" si="1"/>
        <v>0</v>
      </c>
      <c r="J17" s="376">
        <f t="shared" si="0"/>
        <v>0</v>
      </c>
      <c r="K17" s="745"/>
    </row>
    <row r="18" spans="1:11" ht="17.25" customHeight="1">
      <c r="A18" s="143">
        <v>7</v>
      </c>
      <c r="B18" s="143" t="s">
        <v>370</v>
      </c>
      <c r="C18" s="376"/>
      <c r="D18" s="376"/>
      <c r="E18" s="376"/>
      <c r="F18" s="376"/>
      <c r="G18" s="376"/>
      <c r="H18" s="376"/>
      <c r="I18" s="376">
        <f t="shared" si="1"/>
        <v>0</v>
      </c>
      <c r="J18" s="376">
        <f t="shared" si="0"/>
        <v>0</v>
      </c>
      <c r="K18" s="745"/>
    </row>
    <row r="19" spans="1:11" s="10" customFormat="1" ht="14.25" customHeight="1">
      <c r="A19" s="143">
        <v>8</v>
      </c>
      <c r="B19" s="143" t="s">
        <v>250</v>
      </c>
      <c r="C19" s="376"/>
      <c r="D19" s="376"/>
      <c r="E19" s="376"/>
      <c r="F19" s="376"/>
      <c r="G19" s="376"/>
      <c r="H19" s="376"/>
      <c r="I19" s="376">
        <f t="shared" si="1"/>
        <v>0</v>
      </c>
      <c r="J19" s="376">
        <f t="shared" si="0"/>
        <v>0</v>
      </c>
      <c r="K19" s="745"/>
    </row>
    <row r="20" spans="1:11" s="10" customFormat="1" ht="14.25" customHeight="1">
      <c r="A20" s="143">
        <v>9</v>
      </c>
      <c r="B20" s="143" t="s">
        <v>346</v>
      </c>
      <c r="C20" s="376"/>
      <c r="D20" s="376"/>
      <c r="E20" s="376"/>
      <c r="F20" s="376"/>
      <c r="G20" s="376"/>
      <c r="H20" s="376"/>
      <c r="I20" s="376">
        <f t="shared" si="1"/>
        <v>0</v>
      </c>
      <c r="J20" s="376">
        <f t="shared" si="0"/>
        <v>0</v>
      </c>
      <c r="K20" s="745"/>
    </row>
    <row r="21" spans="1:11" s="10" customFormat="1" ht="14.25" customHeight="1">
      <c r="A21" s="143">
        <v>10</v>
      </c>
      <c r="B21" s="143" t="s">
        <v>507</v>
      </c>
      <c r="C21" s="376"/>
      <c r="D21" s="376"/>
      <c r="E21" s="376"/>
      <c r="F21" s="376"/>
      <c r="G21" s="376"/>
      <c r="H21" s="376"/>
      <c r="I21" s="376">
        <f t="shared" si="1"/>
        <v>0</v>
      </c>
      <c r="J21" s="376">
        <f t="shared" si="0"/>
        <v>0</v>
      </c>
      <c r="K21" s="745"/>
    </row>
    <row r="22" spans="1:11" s="10" customFormat="1" ht="14.25" customHeight="1">
      <c r="A22" s="143">
        <v>11</v>
      </c>
      <c r="B22" s="143" t="s">
        <v>469</v>
      </c>
      <c r="C22" s="385"/>
      <c r="D22" s="385"/>
      <c r="E22" s="385"/>
      <c r="F22" s="385"/>
      <c r="G22" s="385"/>
      <c r="H22" s="385"/>
      <c r="I22" s="376">
        <f t="shared" si="1"/>
        <v>0</v>
      </c>
      <c r="J22" s="376">
        <f t="shared" si="0"/>
        <v>0</v>
      </c>
      <c r="K22" s="745"/>
    </row>
    <row r="23" spans="1:11" s="10" customFormat="1" ht="14.25" customHeight="1">
      <c r="A23" s="143">
        <v>12</v>
      </c>
      <c r="B23" s="143" t="s">
        <v>506</v>
      </c>
      <c r="C23" s="385"/>
      <c r="D23" s="385"/>
      <c r="E23" s="385"/>
      <c r="F23" s="385"/>
      <c r="G23" s="385"/>
      <c r="H23" s="385"/>
      <c r="I23" s="376">
        <f t="shared" si="1"/>
        <v>0</v>
      </c>
      <c r="J23" s="376">
        <f t="shared" si="0"/>
        <v>0</v>
      </c>
      <c r="K23" s="745"/>
    </row>
    <row r="24" spans="1:11" s="10" customFormat="1" ht="14.25" customHeight="1">
      <c r="A24" s="143">
        <v>13</v>
      </c>
      <c r="B24" s="143" t="s">
        <v>643</v>
      </c>
      <c r="C24" s="407"/>
      <c r="D24" s="407"/>
      <c r="E24" s="407"/>
      <c r="F24" s="407"/>
      <c r="G24" s="406"/>
      <c r="H24" s="407"/>
      <c r="I24" s="376">
        <f t="shared" si="1"/>
        <v>0</v>
      </c>
      <c r="J24" s="508">
        <f t="shared" si="0"/>
        <v>0</v>
      </c>
      <c r="K24" s="745"/>
    </row>
    <row r="25" spans="1:11" s="10" customFormat="1" ht="15.75" customHeight="1">
      <c r="A25" s="144" t="s">
        <v>16</v>
      </c>
      <c r="B25" s="8"/>
      <c r="C25" s="17">
        <v>30408</v>
      </c>
      <c r="D25" s="297">
        <v>23649.15</v>
      </c>
      <c r="E25" s="17">
        <v>17483</v>
      </c>
      <c r="F25" s="297">
        <f>SUM(F12:F24)</f>
        <v>0</v>
      </c>
      <c r="G25" s="505">
        <v>3698</v>
      </c>
      <c r="H25" s="297">
        <f>SUM(H12:H24)</f>
        <v>0</v>
      </c>
      <c r="I25" s="17">
        <v>9227</v>
      </c>
      <c r="J25" s="506">
        <f>SUM(J12:J24)</f>
        <v>0</v>
      </c>
      <c r="K25" s="591"/>
    </row>
    <row r="26" spans="1:9" s="10" customFormat="1" ht="12.75">
      <c r="A26" s="9"/>
      <c r="I26" s="507"/>
    </row>
    <row r="27" ht="12.75">
      <c r="A27" s="5" t="s">
        <v>874</v>
      </c>
    </row>
    <row r="28" spans="1:10" ht="12.75">
      <c r="A28" s="644"/>
      <c r="B28" s="644"/>
      <c r="C28" s="644"/>
      <c r="D28" s="644"/>
      <c r="E28" s="644"/>
      <c r="F28" s="644"/>
      <c r="G28" s="644"/>
      <c r="H28" s="644"/>
      <c r="I28" s="644"/>
      <c r="J28" s="644"/>
    </row>
    <row r="30" spans="7:10" ht="15.75">
      <c r="G30" s="621" t="s">
        <v>860</v>
      </c>
      <c r="H30" s="621"/>
      <c r="I30" s="621"/>
      <c r="J30" s="621"/>
    </row>
    <row r="31" spans="7:10" ht="15.75">
      <c r="G31" s="621" t="s">
        <v>653</v>
      </c>
      <c r="H31" s="621"/>
      <c r="I31" s="621"/>
      <c r="J31" s="621"/>
    </row>
  </sheetData>
  <sheetProtection/>
  <mergeCells count="20"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A28:J28"/>
    <mergeCell ref="G30:J30"/>
    <mergeCell ref="K12:K25"/>
    <mergeCell ref="G31:J31"/>
    <mergeCell ref="D1:E1"/>
    <mergeCell ref="I1:J1"/>
    <mergeCell ref="A2:J2"/>
    <mergeCell ref="A3:J3"/>
    <mergeCell ref="A5:K5"/>
    <mergeCell ref="A7:B7"/>
  </mergeCells>
  <printOptions horizontalCentered="1"/>
  <pageMargins left="0.46" right="0.47" top="0.5" bottom="0" header="0.31496062992125984" footer="0.31496062992125984"/>
  <pageSetup fitToHeight="1" fitToWidth="1"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SheetLayoutView="55" zoomScalePageLayoutView="0" workbookViewId="0" topLeftCell="A1">
      <selection activeCell="E13" sqref="E13"/>
    </sheetView>
  </sheetViews>
  <sheetFormatPr defaultColWidth="9.140625" defaultRowHeight="12.75"/>
  <cols>
    <col min="1" max="1" width="9.140625" style="6" customWidth="1"/>
    <col min="2" max="2" width="18.140625" style="6" customWidth="1"/>
    <col min="3" max="3" width="16.28125" style="6" customWidth="1"/>
    <col min="4" max="4" width="15.8515625" style="6" customWidth="1"/>
    <col min="5" max="5" width="11.57421875" style="6" customWidth="1"/>
    <col min="6" max="6" width="15.00390625" style="6" customWidth="1"/>
    <col min="7" max="7" width="9.7109375" style="6" customWidth="1"/>
    <col min="8" max="8" width="15.140625" style="6" customWidth="1"/>
    <col min="9" max="9" width="16.57421875" style="6" customWidth="1"/>
    <col min="10" max="10" width="18.28125" style="6" customWidth="1"/>
    <col min="11" max="11" width="14.140625" style="6" customWidth="1"/>
    <col min="12" max="16384" width="9.140625" style="6" customWidth="1"/>
  </cols>
  <sheetData>
    <row r="1" spans="4:10" ht="15">
      <c r="D1" s="560"/>
      <c r="E1" s="560"/>
      <c r="H1" s="25"/>
      <c r="I1" s="641" t="s">
        <v>371</v>
      </c>
      <c r="J1" s="641"/>
    </row>
    <row r="2" spans="1:10" ht="1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20.25">
      <c r="A3" s="563" t="s">
        <v>696</v>
      </c>
      <c r="B3" s="563"/>
      <c r="C3" s="563"/>
      <c r="D3" s="563"/>
      <c r="E3" s="563"/>
      <c r="F3" s="563"/>
      <c r="G3" s="563"/>
      <c r="H3" s="563"/>
      <c r="I3" s="563"/>
      <c r="J3" s="563"/>
    </row>
    <row r="4" ht="10.5" customHeight="1"/>
    <row r="5" spans="1:11" ht="37.5" customHeight="1">
      <c r="A5" s="746" t="s">
        <v>430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</row>
    <row r="6" spans="1:10" ht="15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1" ht="12.75">
      <c r="A7" s="559" t="s">
        <v>665</v>
      </c>
      <c r="B7" s="559"/>
      <c r="E7" s="711"/>
      <c r="F7" s="711"/>
      <c r="G7" s="711"/>
      <c r="H7" s="711"/>
      <c r="I7" s="711" t="s">
        <v>751</v>
      </c>
      <c r="J7" s="711"/>
      <c r="K7" s="711"/>
    </row>
    <row r="8" spans="3:10" s="4" customFormat="1" ht="15.75" hidden="1">
      <c r="C8" s="719" t="s">
        <v>13</v>
      </c>
      <c r="D8" s="719"/>
      <c r="E8" s="719"/>
      <c r="F8" s="719"/>
      <c r="G8" s="719"/>
      <c r="H8" s="719"/>
      <c r="I8" s="719"/>
      <c r="J8" s="719"/>
    </row>
    <row r="9" spans="1:19" ht="30" customHeight="1">
      <c r="A9" s="590" t="s">
        <v>20</v>
      </c>
      <c r="B9" s="590" t="s">
        <v>33</v>
      </c>
      <c r="C9" s="537" t="s">
        <v>805</v>
      </c>
      <c r="D9" s="539"/>
      <c r="E9" s="537" t="s">
        <v>34</v>
      </c>
      <c r="F9" s="539"/>
      <c r="G9" s="537" t="s">
        <v>35</v>
      </c>
      <c r="H9" s="539"/>
      <c r="I9" s="530" t="s">
        <v>100</v>
      </c>
      <c r="J9" s="530"/>
      <c r="K9" s="642" t="s">
        <v>235</v>
      </c>
      <c r="R9" s="8"/>
      <c r="S9" s="10"/>
    </row>
    <row r="10" spans="1:11" s="5" customFormat="1" ht="42" customHeight="1">
      <c r="A10" s="591"/>
      <c r="B10" s="591"/>
      <c r="C10" s="1" t="s">
        <v>36</v>
      </c>
      <c r="D10" s="1" t="s">
        <v>806</v>
      </c>
      <c r="E10" s="1" t="s">
        <v>36</v>
      </c>
      <c r="F10" s="1" t="s">
        <v>806</v>
      </c>
      <c r="G10" s="1" t="s">
        <v>36</v>
      </c>
      <c r="H10" s="1" t="s">
        <v>806</v>
      </c>
      <c r="I10" s="1" t="s">
        <v>132</v>
      </c>
      <c r="J10" s="1" t="s">
        <v>133</v>
      </c>
      <c r="K10" s="643"/>
    </row>
    <row r="11" spans="1:11" ht="12.7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144">
        <v>11</v>
      </c>
    </row>
    <row r="12" spans="1:11" ht="12.75" customHeight="1">
      <c r="A12" s="201">
        <v>1</v>
      </c>
      <c r="B12" s="201" t="s">
        <v>633</v>
      </c>
      <c r="C12" s="747">
        <v>3206</v>
      </c>
      <c r="D12" s="750">
        <v>2422.725</v>
      </c>
      <c r="E12" s="143">
        <v>412</v>
      </c>
      <c r="F12" s="143"/>
      <c r="G12" s="143">
        <v>163</v>
      </c>
      <c r="H12" s="143"/>
      <c r="I12" s="143"/>
      <c r="J12" s="143"/>
      <c r="K12" s="509" t="s">
        <v>691</v>
      </c>
    </row>
    <row r="13" spans="1:11" ht="12.75">
      <c r="A13" s="201">
        <f>A17+1</f>
        <v>11</v>
      </c>
      <c r="B13" s="201" t="s">
        <v>635</v>
      </c>
      <c r="C13" s="748"/>
      <c r="D13" s="751"/>
      <c r="E13" s="143">
        <v>296</v>
      </c>
      <c r="F13" s="143"/>
      <c r="G13" s="143">
        <v>258</v>
      </c>
      <c r="H13" s="143"/>
      <c r="I13" s="143"/>
      <c r="J13" s="143"/>
      <c r="K13" s="510"/>
    </row>
    <row r="14" spans="1:11" ht="12.75">
      <c r="A14" s="201">
        <f>A30+1</f>
        <v>14</v>
      </c>
      <c r="B14" s="201" t="s">
        <v>636</v>
      </c>
      <c r="C14" s="748"/>
      <c r="D14" s="751"/>
      <c r="E14" s="143">
        <v>318</v>
      </c>
      <c r="F14" s="143"/>
      <c r="G14" s="143">
        <v>139</v>
      </c>
      <c r="H14" s="143"/>
      <c r="I14" s="143"/>
      <c r="J14" s="143"/>
      <c r="K14" s="510"/>
    </row>
    <row r="15" spans="1:11" ht="12.75">
      <c r="A15" s="201">
        <f>A40+1</f>
        <v>19</v>
      </c>
      <c r="B15" s="201" t="s">
        <v>637</v>
      </c>
      <c r="C15" s="749"/>
      <c r="D15" s="752"/>
      <c r="E15" s="143">
        <v>393</v>
      </c>
      <c r="F15" s="143"/>
      <c r="G15" s="143">
        <v>153</v>
      </c>
      <c r="H15" s="143"/>
      <c r="I15" s="143"/>
      <c r="J15" s="143"/>
      <c r="K15" s="510"/>
    </row>
    <row r="16" spans="1:11" ht="12.75">
      <c r="A16" s="201">
        <f>A12+1</f>
        <v>2</v>
      </c>
      <c r="B16" s="201" t="s">
        <v>598</v>
      </c>
      <c r="C16" s="747">
        <v>3557</v>
      </c>
      <c r="D16" s="750">
        <v>2566.5</v>
      </c>
      <c r="E16" s="143">
        <v>677</v>
      </c>
      <c r="F16" s="143"/>
      <c r="G16" s="143">
        <v>145</v>
      </c>
      <c r="H16" s="143"/>
      <c r="I16" s="143"/>
      <c r="J16" s="143"/>
      <c r="K16" s="510"/>
    </row>
    <row r="17" spans="1:11" ht="12.75">
      <c r="A17" s="201">
        <f>A19+1</f>
        <v>10</v>
      </c>
      <c r="B17" s="201" t="s">
        <v>605</v>
      </c>
      <c r="C17" s="749"/>
      <c r="D17" s="752"/>
      <c r="E17" s="143">
        <v>868</v>
      </c>
      <c r="F17" s="143"/>
      <c r="G17" s="143">
        <v>123</v>
      </c>
      <c r="H17" s="143"/>
      <c r="I17" s="143"/>
      <c r="J17" s="143"/>
      <c r="K17" s="510"/>
    </row>
    <row r="18" spans="1:11" ht="12.75">
      <c r="A18" s="201">
        <f>A16+1</f>
        <v>3</v>
      </c>
      <c r="B18" s="201" t="s">
        <v>634</v>
      </c>
      <c r="C18" s="75">
        <v>0</v>
      </c>
      <c r="D18" s="374">
        <v>0</v>
      </c>
      <c r="E18" s="143">
        <v>0</v>
      </c>
      <c r="F18" s="143">
        <v>0</v>
      </c>
      <c r="G18" s="143"/>
      <c r="H18" s="143">
        <v>0</v>
      </c>
      <c r="I18" s="143">
        <v>0</v>
      </c>
      <c r="J18" s="143">
        <v>0</v>
      </c>
      <c r="K18" s="510"/>
    </row>
    <row r="19" spans="1:11" ht="12.75">
      <c r="A19" s="201">
        <f>A29+1</f>
        <v>9</v>
      </c>
      <c r="B19" s="201" t="s">
        <v>604</v>
      </c>
      <c r="C19" s="747">
        <v>2535</v>
      </c>
      <c r="D19" s="750">
        <v>2053.5</v>
      </c>
      <c r="E19" s="143">
        <v>521</v>
      </c>
      <c r="F19" s="143"/>
      <c r="G19" s="143">
        <v>54</v>
      </c>
      <c r="H19" s="143"/>
      <c r="I19" s="143"/>
      <c r="J19" s="143"/>
      <c r="K19" s="510"/>
    </row>
    <row r="20" spans="1:11" ht="12.75">
      <c r="A20" s="201">
        <f>A18+1</f>
        <v>4</v>
      </c>
      <c r="B20" s="201" t="s">
        <v>599</v>
      </c>
      <c r="C20" s="748"/>
      <c r="D20" s="751"/>
      <c r="E20" s="143">
        <v>631</v>
      </c>
      <c r="F20" s="143"/>
      <c r="G20" s="143">
        <v>64</v>
      </c>
      <c r="H20" s="143"/>
      <c r="I20" s="143"/>
      <c r="J20" s="143"/>
      <c r="K20" s="510"/>
    </row>
    <row r="21" spans="1:11" ht="12.75">
      <c r="A21" s="201">
        <f>A28+1</f>
        <v>21</v>
      </c>
      <c r="B21" s="201" t="s">
        <v>613</v>
      </c>
      <c r="C21" s="748"/>
      <c r="D21" s="751"/>
      <c r="E21" s="143">
        <v>419</v>
      </c>
      <c r="F21" s="143"/>
      <c r="G21" s="143">
        <v>43</v>
      </c>
      <c r="H21" s="143"/>
      <c r="I21" s="143"/>
      <c r="J21" s="143"/>
      <c r="K21" s="510"/>
    </row>
    <row r="22" spans="1:11" ht="12.75">
      <c r="A22" s="201">
        <f>A21+1</f>
        <v>22</v>
      </c>
      <c r="B22" s="201" t="s">
        <v>614</v>
      </c>
      <c r="C22" s="749"/>
      <c r="D22" s="752"/>
      <c r="E22" s="143">
        <v>394</v>
      </c>
      <c r="F22" s="143"/>
      <c r="G22" s="143">
        <v>41</v>
      </c>
      <c r="H22" s="143"/>
      <c r="I22" s="143"/>
      <c r="J22" s="143"/>
      <c r="K22" s="510"/>
    </row>
    <row r="23" spans="1:11" s="10" customFormat="1" ht="12.75">
      <c r="A23" s="201">
        <f>A24+1</f>
        <v>30</v>
      </c>
      <c r="B23" s="143" t="s">
        <v>622</v>
      </c>
      <c r="C23" s="747">
        <v>3861</v>
      </c>
      <c r="D23" s="750">
        <v>2882.55</v>
      </c>
      <c r="E23" s="143">
        <v>322</v>
      </c>
      <c r="F23" s="143"/>
      <c r="G23" s="143">
        <v>19</v>
      </c>
      <c r="H23" s="143"/>
      <c r="I23" s="143"/>
      <c r="J23" s="143"/>
      <c r="K23" s="510"/>
    </row>
    <row r="24" spans="1:11" ht="12.75">
      <c r="A24" s="201">
        <f>A33+1</f>
        <v>29</v>
      </c>
      <c r="B24" s="143" t="s">
        <v>621</v>
      </c>
      <c r="C24" s="748"/>
      <c r="D24" s="751"/>
      <c r="E24" s="143">
        <v>460</v>
      </c>
      <c r="F24" s="143"/>
      <c r="G24" s="143">
        <v>79</v>
      </c>
      <c r="H24" s="143"/>
      <c r="I24" s="143"/>
      <c r="J24" s="143"/>
      <c r="K24" s="510"/>
    </row>
    <row r="25" spans="1:11" ht="12.75">
      <c r="A25" s="201">
        <f>A20+1</f>
        <v>5</v>
      </c>
      <c r="B25" s="201" t="s">
        <v>600</v>
      </c>
      <c r="C25" s="748"/>
      <c r="D25" s="751"/>
      <c r="E25" s="143">
        <v>394</v>
      </c>
      <c r="F25" s="143"/>
      <c r="G25" s="143">
        <v>61</v>
      </c>
      <c r="H25" s="143"/>
      <c r="I25" s="143"/>
      <c r="J25" s="143"/>
      <c r="K25" s="510"/>
    </row>
    <row r="26" spans="1:11" ht="12.75">
      <c r="A26" s="201">
        <f>A25+1</f>
        <v>6</v>
      </c>
      <c r="B26" s="201" t="s">
        <v>601</v>
      </c>
      <c r="C26" s="748"/>
      <c r="D26" s="751"/>
      <c r="E26" s="143">
        <v>481</v>
      </c>
      <c r="F26" s="143"/>
      <c r="G26" s="143">
        <v>158</v>
      </c>
      <c r="H26" s="143"/>
      <c r="I26" s="143"/>
      <c r="J26" s="143"/>
      <c r="K26" s="510"/>
    </row>
    <row r="27" spans="1:11" ht="12.75">
      <c r="A27" s="201">
        <f>A13+1</f>
        <v>12</v>
      </c>
      <c r="B27" s="201" t="s">
        <v>606</v>
      </c>
      <c r="C27" s="749"/>
      <c r="D27" s="752"/>
      <c r="E27" s="143">
        <v>512</v>
      </c>
      <c r="F27" s="143"/>
      <c r="G27" s="143">
        <v>185</v>
      </c>
      <c r="H27" s="143"/>
      <c r="I27" s="143"/>
      <c r="J27" s="143"/>
      <c r="K27" s="510"/>
    </row>
    <row r="28" spans="1:11" ht="12.75">
      <c r="A28" s="201">
        <f>A15+1</f>
        <v>20</v>
      </c>
      <c r="B28" s="201" t="s">
        <v>612</v>
      </c>
      <c r="C28" s="747">
        <v>2341</v>
      </c>
      <c r="D28" s="750">
        <v>1857.6</v>
      </c>
      <c r="E28" s="143">
        <v>990</v>
      </c>
      <c r="F28" s="143"/>
      <c r="G28" s="143">
        <v>37</v>
      </c>
      <c r="H28" s="143"/>
      <c r="I28" s="143"/>
      <c r="J28" s="143"/>
      <c r="K28" s="510"/>
    </row>
    <row r="29" spans="1:11" ht="12.75">
      <c r="A29" s="201">
        <f>A31+1</f>
        <v>8</v>
      </c>
      <c r="B29" s="201" t="s">
        <v>603</v>
      </c>
      <c r="C29" s="749"/>
      <c r="D29" s="752"/>
      <c r="E29" s="143">
        <v>925</v>
      </c>
      <c r="F29" s="143"/>
      <c r="G29" s="143">
        <v>33</v>
      </c>
      <c r="H29" s="143"/>
      <c r="I29" s="143"/>
      <c r="J29" s="143"/>
      <c r="K29" s="510"/>
    </row>
    <row r="30" spans="1:11" ht="12.75">
      <c r="A30" s="201">
        <f>A27+1</f>
        <v>13</v>
      </c>
      <c r="B30" s="201" t="s">
        <v>607</v>
      </c>
      <c r="C30" s="747">
        <v>4082</v>
      </c>
      <c r="D30" s="750">
        <v>3376.275</v>
      </c>
      <c r="E30" s="143">
        <v>952</v>
      </c>
      <c r="F30" s="143"/>
      <c r="G30" s="143">
        <v>181</v>
      </c>
      <c r="H30" s="143"/>
      <c r="I30" s="143"/>
      <c r="J30" s="143"/>
      <c r="K30" s="510"/>
    </row>
    <row r="31" spans="1:11" ht="12.75">
      <c r="A31" s="201">
        <f>A26+1</f>
        <v>7</v>
      </c>
      <c r="B31" s="201" t="s">
        <v>602</v>
      </c>
      <c r="C31" s="748"/>
      <c r="D31" s="751"/>
      <c r="E31" s="143">
        <v>414</v>
      </c>
      <c r="F31" s="143"/>
      <c r="G31" s="143">
        <v>18</v>
      </c>
      <c r="H31" s="143"/>
      <c r="I31" s="143"/>
      <c r="J31" s="143"/>
      <c r="K31" s="510"/>
    </row>
    <row r="32" spans="1:11" ht="12.75">
      <c r="A32" s="201">
        <f>A38+1</f>
        <v>17</v>
      </c>
      <c r="B32" s="201" t="s">
        <v>610</v>
      </c>
      <c r="C32" s="748"/>
      <c r="D32" s="751"/>
      <c r="E32" s="143">
        <v>630</v>
      </c>
      <c r="F32" s="143"/>
      <c r="G32" s="143">
        <v>81</v>
      </c>
      <c r="H32" s="143"/>
      <c r="I32" s="143"/>
      <c r="J32" s="143"/>
      <c r="K32" s="510"/>
    </row>
    <row r="33" spans="1:11" ht="12.75">
      <c r="A33" s="201">
        <f>A39+1</f>
        <v>28</v>
      </c>
      <c r="B33" s="143" t="s">
        <v>620</v>
      </c>
      <c r="C33" s="749"/>
      <c r="D33" s="752"/>
      <c r="E33" s="143">
        <v>401</v>
      </c>
      <c r="F33" s="143"/>
      <c r="G33" s="143">
        <v>45</v>
      </c>
      <c r="H33" s="143"/>
      <c r="I33" s="143"/>
      <c r="J33" s="143"/>
      <c r="K33" s="510"/>
    </row>
    <row r="34" spans="1:11" ht="12.75">
      <c r="A34" s="201">
        <f>A37+1</f>
        <v>24</v>
      </c>
      <c r="B34" s="201" t="s">
        <v>616</v>
      </c>
      <c r="C34" s="747">
        <v>3699</v>
      </c>
      <c r="D34" s="750">
        <v>2964.15</v>
      </c>
      <c r="E34" s="143">
        <v>619</v>
      </c>
      <c r="F34" s="143"/>
      <c r="G34" s="143">
        <v>481</v>
      </c>
      <c r="H34" s="143"/>
      <c r="I34" s="143"/>
      <c r="J34" s="143"/>
      <c r="K34" s="510"/>
    </row>
    <row r="35" spans="1:11" ht="12.75">
      <c r="A35" s="201">
        <f>A14+1</f>
        <v>15</v>
      </c>
      <c r="B35" s="201" t="s">
        <v>608</v>
      </c>
      <c r="C35" s="748"/>
      <c r="D35" s="751"/>
      <c r="E35" s="143">
        <v>594</v>
      </c>
      <c r="F35" s="143"/>
      <c r="G35" s="143">
        <v>211</v>
      </c>
      <c r="H35" s="143"/>
      <c r="I35" s="143"/>
      <c r="J35" s="143"/>
      <c r="K35" s="510"/>
    </row>
    <row r="36" spans="1:11" ht="12.75">
      <c r="A36" s="201">
        <f>A34+1</f>
        <v>25</v>
      </c>
      <c r="B36" s="201" t="s">
        <v>617</v>
      </c>
      <c r="C36" s="749"/>
      <c r="D36" s="752"/>
      <c r="E36" s="143">
        <v>801</v>
      </c>
      <c r="F36" s="143"/>
      <c r="G36" s="143">
        <v>82</v>
      </c>
      <c r="H36" s="143"/>
      <c r="I36" s="143"/>
      <c r="J36" s="143"/>
      <c r="K36" s="510"/>
    </row>
    <row r="37" spans="1:11" ht="12.75">
      <c r="A37" s="201">
        <f>A22+1</f>
        <v>23</v>
      </c>
      <c r="B37" s="201" t="s">
        <v>615</v>
      </c>
      <c r="C37" s="747">
        <v>3175</v>
      </c>
      <c r="D37" s="750">
        <v>2489.7</v>
      </c>
      <c r="E37" s="143">
        <v>833</v>
      </c>
      <c r="F37" s="143"/>
      <c r="G37" s="143">
        <v>233</v>
      </c>
      <c r="H37" s="143"/>
      <c r="I37" s="143"/>
      <c r="J37" s="143"/>
      <c r="K37" s="510"/>
    </row>
    <row r="38" spans="1:11" ht="12.75">
      <c r="A38" s="201">
        <f>A35+1</f>
        <v>16</v>
      </c>
      <c r="B38" s="201" t="s">
        <v>609</v>
      </c>
      <c r="C38" s="748"/>
      <c r="D38" s="751"/>
      <c r="E38" s="143">
        <v>319</v>
      </c>
      <c r="F38" s="143"/>
      <c r="G38" s="143">
        <v>63</v>
      </c>
      <c r="H38" s="143"/>
      <c r="I38" s="143"/>
      <c r="J38" s="143"/>
      <c r="K38" s="510"/>
    </row>
    <row r="39" spans="1:11" ht="12.75">
      <c r="A39" s="201">
        <f>A41+1</f>
        <v>27</v>
      </c>
      <c r="B39" s="201" t="s">
        <v>619</v>
      </c>
      <c r="C39" s="749"/>
      <c r="D39" s="752"/>
      <c r="E39" s="143">
        <v>664</v>
      </c>
      <c r="F39" s="143"/>
      <c r="G39" s="143">
        <v>161</v>
      </c>
      <c r="H39" s="143"/>
      <c r="I39" s="143"/>
      <c r="J39" s="143"/>
      <c r="K39" s="510"/>
    </row>
    <row r="40" spans="1:11" ht="12.75">
      <c r="A40" s="201">
        <f>A32+1</f>
        <v>18</v>
      </c>
      <c r="B40" s="201" t="s">
        <v>611</v>
      </c>
      <c r="C40" s="747">
        <v>3952</v>
      </c>
      <c r="D40" s="750">
        <v>3036.15</v>
      </c>
      <c r="E40" s="143">
        <v>1023</v>
      </c>
      <c r="F40" s="143"/>
      <c r="G40" s="143">
        <v>195</v>
      </c>
      <c r="H40" s="143"/>
      <c r="I40" s="143"/>
      <c r="J40" s="143"/>
      <c r="K40" s="510"/>
    </row>
    <row r="41" spans="1:11" ht="12.75">
      <c r="A41" s="201">
        <f>A36+1</f>
        <v>26</v>
      </c>
      <c r="B41" s="201" t="s">
        <v>618</v>
      </c>
      <c r="C41" s="748"/>
      <c r="D41" s="751"/>
      <c r="E41" s="143">
        <v>690</v>
      </c>
      <c r="F41" s="143"/>
      <c r="G41" s="143">
        <v>137</v>
      </c>
      <c r="H41" s="143"/>
      <c r="I41" s="143"/>
      <c r="J41" s="143"/>
      <c r="K41" s="510"/>
    </row>
    <row r="42" spans="1:11" s="10" customFormat="1" ht="12.75">
      <c r="A42" s="201">
        <f>A23+1</f>
        <v>31</v>
      </c>
      <c r="B42" s="143" t="s">
        <v>623</v>
      </c>
      <c r="C42" s="749"/>
      <c r="D42" s="752"/>
      <c r="E42" s="143">
        <v>530</v>
      </c>
      <c r="F42" s="143"/>
      <c r="G42" s="143">
        <v>55</v>
      </c>
      <c r="H42" s="143"/>
      <c r="I42" s="143"/>
      <c r="J42" s="143"/>
      <c r="K42" s="510"/>
    </row>
    <row r="43" spans="1:11" s="10" customFormat="1" ht="12.75">
      <c r="A43" s="150"/>
      <c r="B43" s="150" t="s">
        <v>624</v>
      </c>
      <c r="C43" s="144">
        <f aca="true" t="shared" si="0" ref="C43:H43">SUM(C12:C42)</f>
        <v>30408</v>
      </c>
      <c r="D43" s="512">
        <f t="shared" si="0"/>
        <v>23649.150000000005</v>
      </c>
      <c r="E43" s="144">
        <f t="shared" si="0"/>
        <v>17483</v>
      </c>
      <c r="F43" s="144">
        <f t="shared" si="0"/>
        <v>0</v>
      </c>
      <c r="G43" s="144">
        <f t="shared" si="0"/>
        <v>3698</v>
      </c>
      <c r="H43" s="144">
        <f t="shared" si="0"/>
        <v>0</v>
      </c>
      <c r="I43" s="144">
        <v>9227</v>
      </c>
      <c r="J43" s="144">
        <f>SUM(J12:J42)</f>
        <v>0</v>
      </c>
      <c r="K43" s="511"/>
    </row>
    <row r="44" s="10" customFormat="1" ht="12.75">
      <c r="A44" s="9" t="s">
        <v>37</v>
      </c>
    </row>
    <row r="45" s="10" customFormat="1" ht="12.75">
      <c r="A45" s="5" t="s">
        <v>874</v>
      </c>
    </row>
    <row r="46" ht="12.75">
      <c r="A46" s="5"/>
    </row>
    <row r="47" spans="1:10" ht="12.75">
      <c r="A47" s="644"/>
      <c r="B47" s="644"/>
      <c r="C47" s="644"/>
      <c r="D47" s="644"/>
      <c r="E47" s="644"/>
      <c r="F47" s="644"/>
      <c r="G47" s="644"/>
      <c r="H47" s="644"/>
      <c r="I47" s="644"/>
      <c r="J47" s="644"/>
    </row>
    <row r="48" spans="8:11" ht="15.75">
      <c r="H48" s="621" t="s">
        <v>860</v>
      </c>
      <c r="I48" s="621"/>
      <c r="J48" s="621"/>
      <c r="K48" s="621"/>
    </row>
    <row r="49" spans="8:11" ht="15.75">
      <c r="H49" s="621" t="s">
        <v>653</v>
      </c>
      <c r="I49" s="621"/>
      <c r="J49" s="621"/>
      <c r="K49" s="621"/>
    </row>
  </sheetData>
  <sheetProtection/>
  <mergeCells count="37">
    <mergeCell ref="D12:D15"/>
    <mergeCell ref="D16:D17"/>
    <mergeCell ref="D19:D22"/>
    <mergeCell ref="D23:D27"/>
    <mergeCell ref="D28:D29"/>
    <mergeCell ref="C37:C39"/>
    <mergeCell ref="C40:C42"/>
    <mergeCell ref="D30:D33"/>
    <mergeCell ref="D34:D36"/>
    <mergeCell ref="D37:D39"/>
    <mergeCell ref="D40:D42"/>
    <mergeCell ref="C16:C17"/>
    <mergeCell ref="C19:C22"/>
    <mergeCell ref="C23:C27"/>
    <mergeCell ref="C28:C29"/>
    <mergeCell ref="C30:C33"/>
    <mergeCell ref="C34:C36"/>
    <mergeCell ref="K9:K10"/>
    <mergeCell ref="C8:J8"/>
    <mergeCell ref="E7:H7"/>
    <mergeCell ref="H48:K48"/>
    <mergeCell ref="H49:K49"/>
    <mergeCell ref="A47:J47"/>
    <mergeCell ref="E9:F9"/>
    <mergeCell ref="C9:D9"/>
    <mergeCell ref="B9:B10"/>
    <mergeCell ref="C12:C15"/>
    <mergeCell ref="I1:J1"/>
    <mergeCell ref="G9:H9"/>
    <mergeCell ref="A7:B7"/>
    <mergeCell ref="A9:A10"/>
    <mergeCell ref="D1:E1"/>
    <mergeCell ref="A5:K5"/>
    <mergeCell ref="A3:J3"/>
    <mergeCell ref="I9:J9"/>
    <mergeCell ref="I7:K7"/>
    <mergeCell ref="A2:J2"/>
  </mergeCells>
  <printOptions horizontalCentered="1"/>
  <pageMargins left="0.47" right="0.34" top="0.42" bottom="0" header="0.31496062992125984" footer="0.31496062992125984"/>
  <pageSetup fitToHeight="1" fitToWidth="1" horizontalDpi="600" verticalDpi="600" orientation="landscape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SheetLayoutView="55" zoomScalePageLayoutView="0" workbookViewId="0" topLeftCell="A29">
      <selection activeCell="F52" sqref="F52"/>
    </sheetView>
  </sheetViews>
  <sheetFormatPr defaultColWidth="9.140625" defaultRowHeight="12.75"/>
  <cols>
    <col min="1" max="1" width="9.140625" style="6" customWidth="1"/>
    <col min="2" max="2" width="19.00390625" style="6" customWidth="1"/>
    <col min="3" max="3" width="15.140625" style="6" customWidth="1"/>
    <col min="4" max="4" width="15.8515625" style="6" customWidth="1"/>
    <col min="5" max="5" width="9.8515625" style="6" customWidth="1"/>
    <col min="6" max="6" width="13.57421875" style="6" customWidth="1"/>
    <col min="7" max="7" width="9.7109375" style="6" customWidth="1"/>
    <col min="8" max="8" width="10.421875" style="6" customWidth="1"/>
    <col min="9" max="9" width="15.28125" style="6" customWidth="1"/>
    <col min="10" max="10" width="19.28125" style="6" customWidth="1"/>
    <col min="11" max="11" width="15.00390625" style="6" customWidth="1"/>
    <col min="12" max="16384" width="9.140625" style="6" customWidth="1"/>
  </cols>
  <sheetData>
    <row r="1" spans="4:11" ht="22.5" customHeight="1">
      <c r="D1" s="560"/>
      <c r="E1" s="560"/>
      <c r="H1" s="25"/>
      <c r="J1" s="641" t="s">
        <v>65</v>
      </c>
      <c r="K1" s="641"/>
    </row>
    <row r="2" spans="1:10" ht="1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18">
      <c r="A3" s="654" t="s">
        <v>695</v>
      </c>
      <c r="B3" s="654"/>
      <c r="C3" s="654"/>
      <c r="D3" s="654"/>
      <c r="E3" s="654"/>
      <c r="F3" s="654"/>
      <c r="G3" s="654"/>
      <c r="H3" s="654"/>
      <c r="I3" s="654"/>
      <c r="J3" s="654"/>
    </row>
    <row r="4" ht="10.5" customHeight="1"/>
    <row r="5" spans="1:12" ht="33.75" customHeight="1">
      <c r="A5" s="753" t="s">
        <v>431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425"/>
    </row>
    <row r="6" spans="1:10" ht="15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1" ht="12.75">
      <c r="A7" s="559" t="s">
        <v>665</v>
      </c>
      <c r="B7" s="559"/>
      <c r="I7" s="711" t="s">
        <v>751</v>
      </c>
      <c r="J7" s="711"/>
      <c r="K7" s="711"/>
    </row>
    <row r="8" spans="3:10" s="4" customFormat="1" ht="15.75" hidden="1">
      <c r="C8" s="719" t="s">
        <v>13</v>
      </c>
      <c r="D8" s="719"/>
      <c r="E8" s="719"/>
      <c r="F8" s="719"/>
      <c r="G8" s="719"/>
      <c r="H8" s="719"/>
      <c r="I8" s="719"/>
      <c r="J8" s="719"/>
    </row>
    <row r="9" spans="1:19" ht="30" customHeight="1">
      <c r="A9" s="642" t="s">
        <v>20</v>
      </c>
      <c r="B9" s="642" t="s">
        <v>33</v>
      </c>
      <c r="C9" s="537" t="s">
        <v>807</v>
      </c>
      <c r="D9" s="539"/>
      <c r="E9" s="537" t="s">
        <v>472</v>
      </c>
      <c r="F9" s="539"/>
      <c r="G9" s="537" t="s">
        <v>35</v>
      </c>
      <c r="H9" s="539"/>
      <c r="I9" s="530" t="s">
        <v>100</v>
      </c>
      <c r="J9" s="530"/>
      <c r="K9" s="642" t="s">
        <v>236</v>
      </c>
      <c r="R9" s="8"/>
      <c r="S9" s="10"/>
    </row>
    <row r="10" spans="1:11" s="5" customFormat="1" ht="46.5" customHeight="1">
      <c r="A10" s="643"/>
      <c r="B10" s="643"/>
      <c r="C10" s="1" t="s">
        <v>36</v>
      </c>
      <c r="D10" s="1" t="s">
        <v>806</v>
      </c>
      <c r="E10" s="1" t="s">
        <v>36</v>
      </c>
      <c r="F10" s="1" t="s">
        <v>806</v>
      </c>
      <c r="G10" s="1" t="s">
        <v>36</v>
      </c>
      <c r="H10" s="1" t="s">
        <v>806</v>
      </c>
      <c r="I10" s="1" t="s">
        <v>132</v>
      </c>
      <c r="J10" s="1" t="s">
        <v>133</v>
      </c>
      <c r="K10" s="643"/>
    </row>
    <row r="11" spans="1:11" ht="12.7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143">
        <v>8</v>
      </c>
      <c r="I11" s="143">
        <v>9</v>
      </c>
      <c r="J11" s="143">
        <v>10</v>
      </c>
      <c r="K11" s="143">
        <v>11</v>
      </c>
    </row>
    <row r="12" spans="1:11" ht="12.75" customHeight="1">
      <c r="A12" s="201">
        <v>1</v>
      </c>
      <c r="B12" s="201" t="s">
        <v>633</v>
      </c>
      <c r="C12" s="747">
        <v>5178</v>
      </c>
      <c r="D12" s="750">
        <v>258.89</v>
      </c>
      <c r="E12" s="473">
        <v>737</v>
      </c>
      <c r="F12" s="306">
        <f>E12*5000/100000</f>
        <v>36.85</v>
      </c>
      <c r="G12" s="491">
        <v>0</v>
      </c>
      <c r="H12" s="491">
        <v>0</v>
      </c>
      <c r="I12" s="150" t="s">
        <v>7</v>
      </c>
      <c r="J12" s="150" t="s">
        <v>7</v>
      </c>
      <c r="K12" s="491"/>
    </row>
    <row r="13" spans="1:11" ht="12.75" customHeight="1">
      <c r="A13" s="201">
        <f>A17+1</f>
        <v>11</v>
      </c>
      <c r="B13" s="201" t="s">
        <v>635</v>
      </c>
      <c r="C13" s="748"/>
      <c r="D13" s="751"/>
      <c r="E13" s="473">
        <v>639</v>
      </c>
      <c r="F13" s="306">
        <f aca="true" t="shared" si="0" ref="F13:F42">E13*5000/100000</f>
        <v>31.95</v>
      </c>
      <c r="G13" s="491">
        <v>0</v>
      </c>
      <c r="H13" s="491">
        <v>0</v>
      </c>
      <c r="I13" s="150" t="s">
        <v>7</v>
      </c>
      <c r="J13" s="150" t="s">
        <v>7</v>
      </c>
      <c r="K13" s="491"/>
    </row>
    <row r="14" spans="1:11" ht="12.75" customHeight="1">
      <c r="A14" s="201">
        <f>A30+1</f>
        <v>14</v>
      </c>
      <c r="B14" s="201" t="s">
        <v>636</v>
      </c>
      <c r="C14" s="748"/>
      <c r="D14" s="751"/>
      <c r="E14" s="473">
        <v>464</v>
      </c>
      <c r="F14" s="306">
        <f t="shared" si="0"/>
        <v>23.2</v>
      </c>
      <c r="G14" s="491">
        <v>0</v>
      </c>
      <c r="H14" s="491">
        <v>0</v>
      </c>
      <c r="I14" s="150" t="s">
        <v>7</v>
      </c>
      <c r="J14" s="150" t="s">
        <v>7</v>
      </c>
      <c r="K14" s="491"/>
    </row>
    <row r="15" spans="1:11" ht="12.75" customHeight="1">
      <c r="A15" s="201">
        <f>A40+1</f>
        <v>19</v>
      </c>
      <c r="B15" s="201" t="s">
        <v>637</v>
      </c>
      <c r="C15" s="749"/>
      <c r="D15" s="752"/>
      <c r="E15" s="473">
        <v>476</v>
      </c>
      <c r="F15" s="306">
        <f t="shared" si="0"/>
        <v>23.8</v>
      </c>
      <c r="G15" s="491">
        <v>0</v>
      </c>
      <c r="H15" s="491">
        <v>0</v>
      </c>
      <c r="I15" s="150" t="s">
        <v>7</v>
      </c>
      <c r="J15" s="150" t="s">
        <v>7</v>
      </c>
      <c r="K15" s="491"/>
    </row>
    <row r="16" spans="1:11" ht="12.75" customHeight="1">
      <c r="A16" s="201">
        <f>A12+1</f>
        <v>2</v>
      </c>
      <c r="B16" s="201" t="s">
        <v>598</v>
      </c>
      <c r="C16" s="747">
        <v>2574</v>
      </c>
      <c r="D16" s="750">
        <v>128.71</v>
      </c>
      <c r="E16" s="473">
        <v>643</v>
      </c>
      <c r="F16" s="306">
        <f t="shared" si="0"/>
        <v>32.15</v>
      </c>
      <c r="G16" s="491">
        <v>0</v>
      </c>
      <c r="H16" s="491">
        <v>0</v>
      </c>
      <c r="I16" s="150" t="s">
        <v>7</v>
      </c>
      <c r="J16" s="150" t="s">
        <v>7</v>
      </c>
      <c r="K16" s="491"/>
    </row>
    <row r="17" spans="1:12" ht="12.75" customHeight="1">
      <c r="A17" s="201">
        <f>A19+1</f>
        <v>10</v>
      </c>
      <c r="B17" s="201" t="s">
        <v>605</v>
      </c>
      <c r="C17" s="749"/>
      <c r="D17" s="752"/>
      <c r="E17" s="473">
        <v>618</v>
      </c>
      <c r="F17" s="306">
        <f t="shared" si="0"/>
        <v>30.9</v>
      </c>
      <c r="G17" s="491">
        <v>0</v>
      </c>
      <c r="H17" s="491">
        <v>0</v>
      </c>
      <c r="I17" s="150" t="s">
        <v>7</v>
      </c>
      <c r="J17" s="150" t="s">
        <v>7</v>
      </c>
      <c r="K17" s="491"/>
      <c r="L17" s="6">
        <f>16724+509</f>
        <v>17233</v>
      </c>
    </row>
    <row r="18" spans="1:11" ht="12.75" customHeight="1">
      <c r="A18" s="201">
        <f>A16+1</f>
        <v>3</v>
      </c>
      <c r="B18" s="201" t="s">
        <v>634</v>
      </c>
      <c r="C18" s="75">
        <v>509</v>
      </c>
      <c r="D18" s="374">
        <v>25.47</v>
      </c>
      <c r="E18" s="473">
        <v>509</v>
      </c>
      <c r="F18" s="306">
        <v>25.469</v>
      </c>
      <c r="G18" s="491">
        <v>0</v>
      </c>
      <c r="H18" s="491">
        <v>0</v>
      </c>
      <c r="I18" s="150" t="s">
        <v>7</v>
      </c>
      <c r="J18" s="150" t="s">
        <v>7</v>
      </c>
      <c r="K18" s="491"/>
    </row>
    <row r="19" spans="1:11" ht="12.75" customHeight="1">
      <c r="A19" s="201">
        <f>A29+1</f>
        <v>9</v>
      </c>
      <c r="B19" s="201" t="s">
        <v>604</v>
      </c>
      <c r="C19" s="747">
        <v>3637</v>
      </c>
      <c r="D19" s="750">
        <v>181.85</v>
      </c>
      <c r="E19" s="473">
        <v>575</v>
      </c>
      <c r="F19" s="306">
        <f t="shared" si="0"/>
        <v>28.75</v>
      </c>
      <c r="G19" s="491">
        <v>0</v>
      </c>
      <c r="H19" s="491">
        <v>0</v>
      </c>
      <c r="I19" s="150" t="s">
        <v>7</v>
      </c>
      <c r="J19" s="150" t="s">
        <v>7</v>
      </c>
      <c r="K19" s="491"/>
    </row>
    <row r="20" spans="1:11" ht="12.75" customHeight="1">
      <c r="A20" s="201">
        <f>A18+1</f>
        <v>4</v>
      </c>
      <c r="B20" s="201" t="s">
        <v>599</v>
      </c>
      <c r="C20" s="748"/>
      <c r="D20" s="751"/>
      <c r="E20" s="473">
        <v>475</v>
      </c>
      <c r="F20" s="306">
        <f t="shared" si="0"/>
        <v>23.75</v>
      </c>
      <c r="G20" s="491">
        <v>0</v>
      </c>
      <c r="H20" s="491">
        <v>0</v>
      </c>
      <c r="I20" s="150" t="s">
        <v>7</v>
      </c>
      <c r="J20" s="150" t="s">
        <v>7</v>
      </c>
      <c r="K20" s="491"/>
    </row>
    <row r="21" spans="1:11" ht="12.75" customHeight="1">
      <c r="A21" s="201">
        <f>A28+1</f>
        <v>21</v>
      </c>
      <c r="B21" s="201" t="s">
        <v>613</v>
      </c>
      <c r="C21" s="748"/>
      <c r="D21" s="751"/>
      <c r="E21" s="473">
        <v>425</v>
      </c>
      <c r="F21" s="306">
        <f t="shared" si="0"/>
        <v>21.25</v>
      </c>
      <c r="G21" s="491">
        <v>0</v>
      </c>
      <c r="H21" s="491">
        <v>0</v>
      </c>
      <c r="I21" s="150" t="s">
        <v>7</v>
      </c>
      <c r="J21" s="150" t="s">
        <v>7</v>
      </c>
      <c r="K21" s="491"/>
    </row>
    <row r="22" spans="1:11" ht="12.75" customHeight="1">
      <c r="A22" s="201">
        <f>A21+1</f>
        <v>22</v>
      </c>
      <c r="B22" s="201" t="s">
        <v>614</v>
      </c>
      <c r="C22" s="749"/>
      <c r="D22" s="752"/>
      <c r="E22" s="473">
        <v>293</v>
      </c>
      <c r="F22" s="306">
        <f t="shared" si="0"/>
        <v>14.65</v>
      </c>
      <c r="G22" s="491">
        <v>0</v>
      </c>
      <c r="H22" s="491">
        <v>0</v>
      </c>
      <c r="I22" s="150" t="s">
        <v>7</v>
      </c>
      <c r="J22" s="150" t="s">
        <v>7</v>
      </c>
      <c r="K22" s="491"/>
    </row>
    <row r="23" spans="1:11" ht="12.75" customHeight="1">
      <c r="A23" s="201">
        <f>A24+1</f>
        <v>30</v>
      </c>
      <c r="B23" s="143" t="s">
        <v>622</v>
      </c>
      <c r="C23" s="747">
        <v>3533</v>
      </c>
      <c r="D23" s="750">
        <v>176.65</v>
      </c>
      <c r="E23" s="473">
        <v>268</v>
      </c>
      <c r="F23" s="306">
        <f t="shared" si="0"/>
        <v>13.4</v>
      </c>
      <c r="G23" s="491">
        <v>0</v>
      </c>
      <c r="H23" s="491">
        <v>0</v>
      </c>
      <c r="I23" s="150" t="s">
        <v>7</v>
      </c>
      <c r="J23" s="150" t="s">
        <v>7</v>
      </c>
      <c r="K23" s="491"/>
    </row>
    <row r="24" spans="1:11" ht="12.75" customHeight="1">
      <c r="A24" s="201">
        <f>A33+1</f>
        <v>29</v>
      </c>
      <c r="B24" s="143" t="s">
        <v>621</v>
      </c>
      <c r="C24" s="748"/>
      <c r="D24" s="751"/>
      <c r="E24" s="473">
        <v>522</v>
      </c>
      <c r="F24" s="306">
        <f t="shared" si="0"/>
        <v>26.1</v>
      </c>
      <c r="G24" s="491">
        <v>0</v>
      </c>
      <c r="H24" s="491">
        <v>0</v>
      </c>
      <c r="I24" s="150" t="s">
        <v>7</v>
      </c>
      <c r="J24" s="150" t="s">
        <v>7</v>
      </c>
      <c r="K24" s="491"/>
    </row>
    <row r="25" spans="1:11" ht="12.75" customHeight="1">
      <c r="A25" s="201">
        <f>A20+1</f>
        <v>5</v>
      </c>
      <c r="B25" s="201" t="s">
        <v>600</v>
      </c>
      <c r="C25" s="748"/>
      <c r="D25" s="751"/>
      <c r="E25" s="473">
        <v>406</v>
      </c>
      <c r="F25" s="306">
        <f t="shared" si="0"/>
        <v>20.3</v>
      </c>
      <c r="G25" s="491">
        <v>0</v>
      </c>
      <c r="H25" s="491">
        <v>0</v>
      </c>
      <c r="I25" s="150" t="s">
        <v>7</v>
      </c>
      <c r="J25" s="150" t="s">
        <v>7</v>
      </c>
      <c r="K25" s="491"/>
    </row>
    <row r="26" spans="1:11" ht="12.75" customHeight="1">
      <c r="A26" s="201">
        <f>A25+1</f>
        <v>6</v>
      </c>
      <c r="B26" s="201" t="s">
        <v>601</v>
      </c>
      <c r="C26" s="748"/>
      <c r="D26" s="751"/>
      <c r="E26" s="473">
        <f>250+259</f>
        <v>509</v>
      </c>
      <c r="F26" s="306">
        <f t="shared" si="0"/>
        <v>25.45</v>
      </c>
      <c r="G26" s="491">
        <v>0</v>
      </c>
      <c r="H26" s="491">
        <v>0</v>
      </c>
      <c r="I26" s="150" t="s">
        <v>7</v>
      </c>
      <c r="J26" s="150" t="s">
        <v>7</v>
      </c>
      <c r="K26" s="491"/>
    </row>
    <row r="27" spans="1:13" ht="12.75" customHeight="1">
      <c r="A27" s="201">
        <f>A13+1</f>
        <v>12</v>
      </c>
      <c r="B27" s="201" t="s">
        <v>606</v>
      </c>
      <c r="C27" s="749"/>
      <c r="D27" s="752"/>
      <c r="E27" s="473">
        <v>773</v>
      </c>
      <c r="F27" s="306">
        <f t="shared" si="0"/>
        <v>38.65</v>
      </c>
      <c r="G27" s="491">
        <v>0</v>
      </c>
      <c r="H27" s="491">
        <v>0</v>
      </c>
      <c r="I27" s="150" t="s">
        <v>7</v>
      </c>
      <c r="J27" s="150" t="s">
        <v>7</v>
      </c>
      <c r="K27" s="491"/>
      <c r="M27" s="6">
        <f>2316+1261+1768+2478+2357+2000+1619+1701+2052</f>
        <v>17552</v>
      </c>
    </row>
    <row r="28" spans="1:13" ht="12.75" customHeight="1">
      <c r="A28" s="201">
        <f>A15+1</f>
        <v>20</v>
      </c>
      <c r="B28" s="201" t="s">
        <v>612</v>
      </c>
      <c r="C28" s="747">
        <v>2890</v>
      </c>
      <c r="D28" s="750">
        <v>144.5</v>
      </c>
      <c r="E28" s="473">
        <v>1235</v>
      </c>
      <c r="F28" s="306">
        <f t="shared" si="0"/>
        <v>61.75</v>
      </c>
      <c r="G28" s="491">
        <v>0</v>
      </c>
      <c r="H28" s="491">
        <v>0</v>
      </c>
      <c r="I28" s="150" t="s">
        <v>7</v>
      </c>
      <c r="J28" s="150" t="s">
        <v>7</v>
      </c>
      <c r="K28" s="491"/>
      <c r="M28" s="6">
        <v>509</v>
      </c>
    </row>
    <row r="29" spans="1:11" ht="12.75" customHeight="1">
      <c r="A29" s="201">
        <f>A31+1</f>
        <v>8</v>
      </c>
      <c r="B29" s="201" t="s">
        <v>603</v>
      </c>
      <c r="C29" s="749"/>
      <c r="D29" s="752"/>
      <c r="E29" s="473">
        <v>1122</v>
      </c>
      <c r="F29" s="306">
        <f t="shared" si="0"/>
        <v>56.1</v>
      </c>
      <c r="G29" s="491">
        <v>0</v>
      </c>
      <c r="H29" s="491">
        <v>0</v>
      </c>
      <c r="I29" s="150" t="s">
        <v>7</v>
      </c>
      <c r="J29" s="150" t="s">
        <v>7</v>
      </c>
      <c r="K29" s="491"/>
    </row>
    <row r="30" spans="1:11" ht="12.75" customHeight="1">
      <c r="A30" s="201">
        <f>A27+1</f>
        <v>13</v>
      </c>
      <c r="B30" s="201" t="s">
        <v>607</v>
      </c>
      <c r="C30" s="747">
        <v>5082</v>
      </c>
      <c r="D30" s="750">
        <v>254.12</v>
      </c>
      <c r="E30" s="473">
        <f>467+352</f>
        <v>819</v>
      </c>
      <c r="F30" s="306">
        <f t="shared" si="0"/>
        <v>40.95</v>
      </c>
      <c r="G30" s="491">
        <v>0</v>
      </c>
      <c r="H30" s="491">
        <v>0</v>
      </c>
      <c r="I30" s="150" t="s">
        <v>7</v>
      </c>
      <c r="J30" s="150" t="s">
        <v>7</v>
      </c>
      <c r="K30" s="491"/>
    </row>
    <row r="31" spans="1:11" ht="12.75" customHeight="1">
      <c r="A31" s="201">
        <f>A26+1</f>
        <v>7</v>
      </c>
      <c r="B31" s="201" t="s">
        <v>602</v>
      </c>
      <c r="C31" s="748"/>
      <c r="D31" s="751"/>
      <c r="E31" s="473">
        <v>356</v>
      </c>
      <c r="F31" s="306">
        <f t="shared" si="0"/>
        <v>17.8</v>
      </c>
      <c r="G31" s="491">
        <v>0</v>
      </c>
      <c r="H31" s="491">
        <v>0</v>
      </c>
      <c r="I31" s="150" t="s">
        <v>7</v>
      </c>
      <c r="J31" s="150" t="s">
        <v>7</v>
      </c>
      <c r="K31" s="491"/>
    </row>
    <row r="32" spans="1:11" ht="12.75" customHeight="1">
      <c r="A32" s="201">
        <f>A38+1</f>
        <v>17</v>
      </c>
      <c r="B32" s="201" t="s">
        <v>610</v>
      </c>
      <c r="C32" s="748"/>
      <c r="D32" s="751"/>
      <c r="E32" s="473">
        <v>498</v>
      </c>
      <c r="F32" s="306">
        <f t="shared" si="0"/>
        <v>24.9</v>
      </c>
      <c r="G32" s="491">
        <v>0</v>
      </c>
      <c r="H32" s="491">
        <v>0</v>
      </c>
      <c r="I32" s="150" t="s">
        <v>7</v>
      </c>
      <c r="J32" s="150" t="s">
        <v>7</v>
      </c>
      <c r="K32" s="491"/>
    </row>
    <row r="33" spans="1:11" ht="12.75" customHeight="1">
      <c r="A33" s="201">
        <f>A39+1</f>
        <v>28</v>
      </c>
      <c r="B33" s="143" t="s">
        <v>620</v>
      </c>
      <c r="C33" s="749"/>
      <c r="D33" s="752"/>
      <c r="E33" s="473">
        <v>327</v>
      </c>
      <c r="F33" s="306">
        <f t="shared" si="0"/>
        <v>16.35</v>
      </c>
      <c r="G33" s="491">
        <v>0</v>
      </c>
      <c r="H33" s="491">
        <v>0</v>
      </c>
      <c r="I33" s="150" t="s">
        <v>7</v>
      </c>
      <c r="J33" s="150" t="s">
        <v>7</v>
      </c>
      <c r="K33" s="491"/>
    </row>
    <row r="34" spans="1:11" ht="12.75" customHeight="1">
      <c r="A34" s="201">
        <f>A37+1</f>
        <v>24</v>
      </c>
      <c r="B34" s="201" t="s">
        <v>616</v>
      </c>
      <c r="C34" s="747">
        <v>3343</v>
      </c>
      <c r="D34" s="750">
        <v>167.16</v>
      </c>
      <c r="E34" s="473">
        <v>677</v>
      </c>
      <c r="F34" s="306">
        <f t="shared" si="0"/>
        <v>33.85</v>
      </c>
      <c r="G34" s="491">
        <v>0</v>
      </c>
      <c r="H34" s="491">
        <v>0</v>
      </c>
      <c r="I34" s="150" t="s">
        <v>7</v>
      </c>
      <c r="J34" s="150" t="s">
        <v>7</v>
      </c>
      <c r="K34" s="491"/>
    </row>
    <row r="35" spans="1:11" ht="12.75" customHeight="1">
      <c r="A35" s="201">
        <f>A14+1</f>
        <v>15</v>
      </c>
      <c r="B35" s="201" t="s">
        <v>608</v>
      </c>
      <c r="C35" s="748"/>
      <c r="D35" s="751"/>
      <c r="E35" s="473">
        <v>520</v>
      </c>
      <c r="F35" s="306">
        <f t="shared" si="0"/>
        <v>26</v>
      </c>
      <c r="G35" s="491">
        <v>0</v>
      </c>
      <c r="H35" s="491">
        <v>0</v>
      </c>
      <c r="I35" s="150" t="s">
        <v>7</v>
      </c>
      <c r="J35" s="150" t="s">
        <v>7</v>
      </c>
      <c r="K35" s="491"/>
    </row>
    <row r="36" spans="1:11" ht="12.75" customHeight="1">
      <c r="A36" s="201">
        <f>A34+1</f>
        <v>25</v>
      </c>
      <c r="B36" s="201" t="s">
        <v>617</v>
      </c>
      <c r="C36" s="749"/>
      <c r="D36" s="752"/>
      <c r="E36" s="473">
        <f>348+74</f>
        <v>422</v>
      </c>
      <c r="F36" s="306">
        <f t="shared" si="0"/>
        <v>21.1</v>
      </c>
      <c r="G36" s="491">
        <v>0</v>
      </c>
      <c r="H36" s="491">
        <v>0</v>
      </c>
      <c r="I36" s="150" t="s">
        <v>7</v>
      </c>
      <c r="J36" s="150" t="s">
        <v>7</v>
      </c>
      <c r="K36" s="491"/>
    </row>
    <row r="37" spans="1:11" ht="12.75" customHeight="1">
      <c r="A37" s="201">
        <f>A22+1</f>
        <v>23</v>
      </c>
      <c r="B37" s="201" t="s">
        <v>615</v>
      </c>
      <c r="C37" s="747">
        <v>2025</v>
      </c>
      <c r="D37" s="750">
        <v>101.25</v>
      </c>
      <c r="E37" s="473">
        <f>471+244</f>
        <v>715</v>
      </c>
      <c r="F37" s="306">
        <f t="shared" si="0"/>
        <v>35.75</v>
      </c>
      <c r="G37" s="491">
        <v>0</v>
      </c>
      <c r="H37" s="491">
        <v>0</v>
      </c>
      <c r="I37" s="150" t="s">
        <v>7</v>
      </c>
      <c r="J37" s="150" t="s">
        <v>7</v>
      </c>
      <c r="K37" s="491"/>
    </row>
    <row r="38" spans="1:11" ht="12.75" customHeight="1">
      <c r="A38" s="201">
        <f>A35+1</f>
        <v>16</v>
      </c>
      <c r="B38" s="201" t="s">
        <v>609</v>
      </c>
      <c r="C38" s="748"/>
      <c r="D38" s="751"/>
      <c r="E38" s="473">
        <v>284</v>
      </c>
      <c r="F38" s="306">
        <f t="shared" si="0"/>
        <v>14.2</v>
      </c>
      <c r="G38" s="491">
        <v>0</v>
      </c>
      <c r="H38" s="491">
        <v>0</v>
      </c>
      <c r="I38" s="150" t="s">
        <v>7</v>
      </c>
      <c r="J38" s="150" t="s">
        <v>7</v>
      </c>
      <c r="K38" s="491"/>
    </row>
    <row r="39" spans="1:11" ht="12.75" customHeight="1">
      <c r="A39" s="201">
        <f>A41+1</f>
        <v>27</v>
      </c>
      <c r="B39" s="201" t="s">
        <v>619</v>
      </c>
      <c r="C39" s="749"/>
      <c r="D39" s="752"/>
      <c r="E39" s="473">
        <f>592+110</f>
        <v>702</v>
      </c>
      <c r="F39" s="306">
        <f t="shared" si="0"/>
        <v>35.1</v>
      </c>
      <c r="G39" s="491">
        <v>0</v>
      </c>
      <c r="H39" s="491">
        <v>0</v>
      </c>
      <c r="I39" s="150" t="s">
        <v>7</v>
      </c>
      <c r="J39" s="150" t="s">
        <v>7</v>
      </c>
      <c r="K39" s="491"/>
    </row>
    <row r="40" spans="1:11" ht="12.75" customHeight="1">
      <c r="A40" s="201">
        <f>A32+1</f>
        <v>18</v>
      </c>
      <c r="B40" s="201" t="s">
        <v>611</v>
      </c>
      <c r="C40" s="747">
        <v>4221</v>
      </c>
      <c r="D40" s="750">
        <v>211.056</v>
      </c>
      <c r="E40" s="473">
        <v>909</v>
      </c>
      <c r="F40" s="306">
        <f t="shared" si="0"/>
        <v>45.45</v>
      </c>
      <c r="G40" s="491">
        <v>0</v>
      </c>
      <c r="H40" s="491">
        <v>0</v>
      </c>
      <c r="I40" s="150" t="s">
        <v>7</v>
      </c>
      <c r="J40" s="150" t="s">
        <v>7</v>
      </c>
      <c r="K40" s="491"/>
    </row>
    <row r="41" spans="1:11" ht="12.75" customHeight="1">
      <c r="A41" s="201">
        <f>A36+1</f>
        <v>26</v>
      </c>
      <c r="B41" s="201" t="s">
        <v>618</v>
      </c>
      <c r="C41" s="748"/>
      <c r="D41" s="751"/>
      <c r="E41" s="473">
        <v>613</v>
      </c>
      <c r="F41" s="306">
        <f t="shared" si="0"/>
        <v>30.65</v>
      </c>
      <c r="G41" s="491">
        <v>0</v>
      </c>
      <c r="H41" s="491">
        <v>0</v>
      </c>
      <c r="I41" s="150" t="s">
        <v>7</v>
      </c>
      <c r="J41" s="150" t="s">
        <v>7</v>
      </c>
      <c r="K41" s="491"/>
    </row>
    <row r="42" spans="1:11" s="10" customFormat="1" ht="12.75" customHeight="1">
      <c r="A42" s="201">
        <f>A23+1</f>
        <v>31</v>
      </c>
      <c r="B42" s="143" t="s">
        <v>623</v>
      </c>
      <c r="C42" s="749"/>
      <c r="D42" s="752"/>
      <c r="E42" s="292">
        <v>530</v>
      </c>
      <c r="F42" s="306">
        <f t="shared" si="0"/>
        <v>26.5</v>
      </c>
      <c r="G42" s="491">
        <v>0</v>
      </c>
      <c r="H42" s="491">
        <v>0</v>
      </c>
      <c r="I42" s="150" t="s">
        <v>7</v>
      </c>
      <c r="J42" s="150" t="s">
        <v>7</v>
      </c>
      <c r="K42" s="491"/>
    </row>
    <row r="43" spans="1:11" s="10" customFormat="1" ht="12.75" customHeight="1">
      <c r="A43" s="150"/>
      <c r="B43" s="150" t="s">
        <v>624</v>
      </c>
      <c r="C43" s="491">
        <f>SUM(C12:C42)</f>
        <v>32992</v>
      </c>
      <c r="D43" s="515">
        <f>SUM(D12:D42)</f>
        <v>1649.6560000000002</v>
      </c>
      <c r="E43" s="491">
        <f aca="true" t="shared" si="1" ref="E43:K43">SUM(E12:E42)</f>
        <v>18061</v>
      </c>
      <c r="F43" s="515">
        <f t="shared" si="1"/>
        <v>903.0690000000001</v>
      </c>
      <c r="G43" s="491">
        <f t="shared" si="1"/>
        <v>0</v>
      </c>
      <c r="H43" s="491">
        <f t="shared" si="1"/>
        <v>0</v>
      </c>
      <c r="I43" s="491">
        <f t="shared" si="1"/>
        <v>0</v>
      </c>
      <c r="J43" s="491">
        <f t="shared" si="1"/>
        <v>0</v>
      </c>
      <c r="K43" s="491">
        <f t="shared" si="1"/>
        <v>0</v>
      </c>
    </row>
    <row r="44" s="10" customFormat="1" ht="12.75">
      <c r="C44" s="513"/>
    </row>
    <row r="45" s="10" customFormat="1" ht="12.75">
      <c r="A45" s="9" t="s">
        <v>37</v>
      </c>
    </row>
    <row r="46" spans="1:6" ht="15.75" customHeight="1">
      <c r="A46" s="5" t="s">
        <v>875</v>
      </c>
      <c r="C46" s="514"/>
      <c r="D46" s="514"/>
      <c r="E46" s="514"/>
      <c r="F46" s="514"/>
    </row>
    <row r="47" spans="1:6" ht="15.75" customHeight="1">
      <c r="A47" s="5"/>
      <c r="C47" s="514"/>
      <c r="D47" s="514"/>
      <c r="E47" s="514"/>
      <c r="F47" s="514"/>
    </row>
    <row r="48" ht="12.75">
      <c r="A48" s="5"/>
    </row>
    <row r="49" spans="8:11" ht="15.75">
      <c r="H49" s="621" t="s">
        <v>860</v>
      </c>
      <c r="I49" s="621"/>
      <c r="J49" s="621"/>
      <c r="K49" s="621"/>
    </row>
    <row r="50" spans="8:11" ht="15.75">
      <c r="H50" s="621" t="s">
        <v>653</v>
      </c>
      <c r="I50" s="621"/>
      <c r="J50" s="621"/>
      <c r="K50" s="621"/>
    </row>
  </sheetData>
  <sheetProtection/>
  <mergeCells count="35">
    <mergeCell ref="C37:C39"/>
    <mergeCell ref="D37:D39"/>
    <mergeCell ref="C40:C42"/>
    <mergeCell ref="D40:D42"/>
    <mergeCell ref="D28:D29"/>
    <mergeCell ref="C30:C33"/>
    <mergeCell ref="D30:D33"/>
    <mergeCell ref="C34:C36"/>
    <mergeCell ref="D34:D36"/>
    <mergeCell ref="D16:D17"/>
    <mergeCell ref="C19:C22"/>
    <mergeCell ref="D19:D22"/>
    <mergeCell ref="C23:C27"/>
    <mergeCell ref="D23:D27"/>
    <mergeCell ref="C28:C29"/>
    <mergeCell ref="A5:K5"/>
    <mergeCell ref="H49:K49"/>
    <mergeCell ref="H50:K50"/>
    <mergeCell ref="C8:J8"/>
    <mergeCell ref="A9:A10"/>
    <mergeCell ref="B9:B10"/>
    <mergeCell ref="E9:F9"/>
    <mergeCell ref="C12:C15"/>
    <mergeCell ref="D12:D15"/>
    <mergeCell ref="C16:C17"/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</mergeCells>
  <printOptions horizontalCentered="1"/>
  <pageMargins left="0.7086614173228347" right="0.7086614173228347" top="0.45" bottom="0" header="0.31496062992125984" footer="0.31496062992125984"/>
  <pageSetup fitToHeight="1" fitToWidth="1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9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9.140625" style="6" customWidth="1"/>
    <col min="2" max="2" width="19.00390625" style="6" customWidth="1"/>
    <col min="3" max="3" width="16.28125" style="6" customWidth="1"/>
    <col min="4" max="4" width="15.8515625" style="6" customWidth="1"/>
    <col min="5" max="5" width="9.28125" style="6" customWidth="1"/>
    <col min="6" max="6" width="13.57421875" style="6" customWidth="1"/>
    <col min="7" max="7" width="9.7109375" style="6" customWidth="1"/>
    <col min="8" max="8" width="10.421875" style="6" customWidth="1"/>
    <col min="9" max="9" width="15.28125" style="6" customWidth="1"/>
    <col min="10" max="10" width="19.28125" style="6" customWidth="1"/>
    <col min="11" max="11" width="15.00390625" style="6" customWidth="1"/>
    <col min="12" max="16384" width="9.140625" style="6" customWidth="1"/>
  </cols>
  <sheetData>
    <row r="1" spans="4:11" ht="22.5" customHeight="1">
      <c r="D1" s="560"/>
      <c r="E1" s="560"/>
      <c r="H1" s="25"/>
      <c r="J1" s="641" t="s">
        <v>473</v>
      </c>
      <c r="K1" s="641"/>
    </row>
    <row r="2" spans="1:10" ht="1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18">
      <c r="A3" s="654" t="s">
        <v>695</v>
      </c>
      <c r="B3" s="654"/>
      <c r="C3" s="654"/>
      <c r="D3" s="654"/>
      <c r="E3" s="654"/>
      <c r="F3" s="654"/>
      <c r="G3" s="654"/>
      <c r="H3" s="654"/>
      <c r="I3" s="654"/>
      <c r="J3" s="654"/>
    </row>
    <row r="4" ht="10.5" customHeight="1"/>
    <row r="5" spans="1:12" ht="15.75" customHeight="1">
      <c r="A5" s="764" t="s">
        <v>483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408"/>
    </row>
    <row r="6" spans="1:10" ht="15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1" ht="12.75">
      <c r="A7" s="559" t="s">
        <v>665</v>
      </c>
      <c r="B7" s="559"/>
      <c r="I7" s="711" t="s">
        <v>752</v>
      </c>
      <c r="J7" s="711"/>
      <c r="K7" s="711"/>
    </row>
    <row r="8" spans="3:10" s="4" customFormat="1" ht="15.75" hidden="1">
      <c r="C8" s="719" t="s">
        <v>13</v>
      </c>
      <c r="D8" s="719"/>
      <c r="E8" s="719"/>
      <c r="F8" s="719"/>
      <c r="G8" s="719"/>
      <c r="H8" s="719"/>
      <c r="I8" s="719"/>
      <c r="J8" s="719"/>
    </row>
    <row r="9" spans="1:19" ht="31.5" customHeight="1">
      <c r="A9" s="642" t="s">
        <v>20</v>
      </c>
      <c r="B9" s="642" t="s">
        <v>33</v>
      </c>
      <c r="C9" s="537" t="s">
        <v>808</v>
      </c>
      <c r="D9" s="539"/>
      <c r="E9" s="537" t="s">
        <v>472</v>
      </c>
      <c r="F9" s="539"/>
      <c r="G9" s="537" t="s">
        <v>35</v>
      </c>
      <c r="H9" s="539"/>
      <c r="I9" s="530" t="s">
        <v>100</v>
      </c>
      <c r="J9" s="530"/>
      <c r="K9" s="642" t="s">
        <v>509</v>
      </c>
      <c r="R9" s="8"/>
      <c r="S9" s="10"/>
    </row>
    <row r="10" spans="1:11" s="5" customFormat="1" ht="46.5" customHeight="1">
      <c r="A10" s="643"/>
      <c r="B10" s="643"/>
      <c r="C10" s="1" t="s">
        <v>36</v>
      </c>
      <c r="D10" s="1" t="s">
        <v>99</v>
      </c>
      <c r="E10" s="1" t="s">
        <v>36</v>
      </c>
      <c r="F10" s="1" t="s">
        <v>99</v>
      </c>
      <c r="G10" s="1" t="s">
        <v>36</v>
      </c>
      <c r="H10" s="1" t="s">
        <v>99</v>
      </c>
      <c r="I10" s="1" t="s">
        <v>132</v>
      </c>
      <c r="J10" s="1" t="s">
        <v>133</v>
      </c>
      <c r="K10" s="643"/>
    </row>
    <row r="11" spans="1:11" s="5" customFormat="1" ht="12.75">
      <c r="A11" s="144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  <c r="H11" s="144">
        <v>8</v>
      </c>
      <c r="I11" s="144">
        <v>9</v>
      </c>
      <c r="J11" s="144">
        <v>10</v>
      </c>
      <c r="K11" s="144">
        <v>11</v>
      </c>
    </row>
    <row r="12" spans="1:11" ht="12.75">
      <c r="A12" s="201">
        <v>1</v>
      </c>
      <c r="B12" s="201" t="s">
        <v>633</v>
      </c>
      <c r="C12" s="755" t="s">
        <v>638</v>
      </c>
      <c r="D12" s="756"/>
      <c r="E12" s="756"/>
      <c r="F12" s="756"/>
      <c r="G12" s="756"/>
      <c r="H12" s="756"/>
      <c r="I12" s="756"/>
      <c r="J12" s="756"/>
      <c r="K12" s="757"/>
    </row>
    <row r="13" spans="1:11" ht="12.75">
      <c r="A13" s="201">
        <f>A12+1</f>
        <v>2</v>
      </c>
      <c r="B13" s="201" t="s">
        <v>598</v>
      </c>
      <c r="C13" s="758"/>
      <c r="D13" s="759"/>
      <c r="E13" s="759"/>
      <c r="F13" s="759"/>
      <c r="G13" s="759"/>
      <c r="H13" s="759"/>
      <c r="I13" s="759"/>
      <c r="J13" s="759"/>
      <c r="K13" s="760"/>
    </row>
    <row r="14" spans="1:11" ht="12.75">
      <c r="A14" s="201">
        <f aca="true" t="shared" si="0" ref="A14:A42">A13+1</f>
        <v>3</v>
      </c>
      <c r="B14" s="201" t="s">
        <v>634</v>
      </c>
      <c r="C14" s="758"/>
      <c r="D14" s="759"/>
      <c r="E14" s="759"/>
      <c r="F14" s="759"/>
      <c r="G14" s="759"/>
      <c r="H14" s="759"/>
      <c r="I14" s="759"/>
      <c r="J14" s="759"/>
      <c r="K14" s="760"/>
    </row>
    <row r="15" spans="1:11" ht="12.75">
      <c r="A15" s="201">
        <f t="shared" si="0"/>
        <v>4</v>
      </c>
      <c r="B15" s="201" t="s">
        <v>599</v>
      </c>
      <c r="C15" s="758"/>
      <c r="D15" s="759"/>
      <c r="E15" s="759"/>
      <c r="F15" s="759"/>
      <c r="G15" s="759"/>
      <c r="H15" s="759"/>
      <c r="I15" s="759"/>
      <c r="J15" s="759"/>
      <c r="K15" s="760"/>
    </row>
    <row r="16" spans="1:11" ht="12.75">
      <c r="A16" s="201">
        <f t="shared" si="0"/>
        <v>5</v>
      </c>
      <c r="B16" s="201" t="s">
        <v>600</v>
      </c>
      <c r="C16" s="758"/>
      <c r="D16" s="759"/>
      <c r="E16" s="759"/>
      <c r="F16" s="759"/>
      <c r="G16" s="759"/>
      <c r="H16" s="759"/>
      <c r="I16" s="759"/>
      <c r="J16" s="759"/>
      <c r="K16" s="760"/>
    </row>
    <row r="17" spans="1:11" ht="12.75">
      <c r="A17" s="201">
        <f t="shared" si="0"/>
        <v>6</v>
      </c>
      <c r="B17" s="201" t="s">
        <v>601</v>
      </c>
      <c r="C17" s="758"/>
      <c r="D17" s="759"/>
      <c r="E17" s="759"/>
      <c r="F17" s="759"/>
      <c r="G17" s="759"/>
      <c r="H17" s="759"/>
      <c r="I17" s="759"/>
      <c r="J17" s="759"/>
      <c r="K17" s="760"/>
    </row>
    <row r="18" spans="1:11" ht="12.75">
      <c r="A18" s="201">
        <f t="shared" si="0"/>
        <v>7</v>
      </c>
      <c r="B18" s="201" t="s">
        <v>602</v>
      </c>
      <c r="C18" s="758"/>
      <c r="D18" s="759"/>
      <c r="E18" s="759"/>
      <c r="F18" s="759"/>
      <c r="G18" s="759"/>
      <c r="H18" s="759"/>
      <c r="I18" s="759"/>
      <c r="J18" s="759"/>
      <c r="K18" s="760"/>
    </row>
    <row r="19" spans="1:11" ht="12.75">
      <c r="A19" s="201">
        <f t="shared" si="0"/>
        <v>8</v>
      </c>
      <c r="B19" s="201" t="s">
        <v>603</v>
      </c>
      <c r="C19" s="758"/>
      <c r="D19" s="759"/>
      <c r="E19" s="759"/>
      <c r="F19" s="759"/>
      <c r="G19" s="759"/>
      <c r="H19" s="759"/>
      <c r="I19" s="759"/>
      <c r="J19" s="759"/>
      <c r="K19" s="760"/>
    </row>
    <row r="20" spans="1:11" ht="12.75">
      <c r="A20" s="201">
        <f t="shared" si="0"/>
        <v>9</v>
      </c>
      <c r="B20" s="201" t="s">
        <v>604</v>
      </c>
      <c r="C20" s="758"/>
      <c r="D20" s="759"/>
      <c r="E20" s="759"/>
      <c r="F20" s="759"/>
      <c r="G20" s="759"/>
      <c r="H20" s="759"/>
      <c r="I20" s="759"/>
      <c r="J20" s="759"/>
      <c r="K20" s="760"/>
    </row>
    <row r="21" spans="1:11" ht="12.75">
      <c r="A21" s="201">
        <f t="shared" si="0"/>
        <v>10</v>
      </c>
      <c r="B21" s="201" t="s">
        <v>605</v>
      </c>
      <c r="C21" s="758"/>
      <c r="D21" s="759"/>
      <c r="E21" s="759"/>
      <c r="F21" s="759"/>
      <c r="G21" s="759"/>
      <c r="H21" s="759"/>
      <c r="I21" s="759"/>
      <c r="J21" s="759"/>
      <c r="K21" s="760"/>
    </row>
    <row r="22" spans="1:11" ht="12.75">
      <c r="A22" s="201">
        <f t="shared" si="0"/>
        <v>11</v>
      </c>
      <c r="B22" s="201" t="s">
        <v>635</v>
      </c>
      <c r="C22" s="758"/>
      <c r="D22" s="759"/>
      <c r="E22" s="759"/>
      <c r="F22" s="759"/>
      <c r="G22" s="759"/>
      <c r="H22" s="759"/>
      <c r="I22" s="759"/>
      <c r="J22" s="759"/>
      <c r="K22" s="760"/>
    </row>
    <row r="23" spans="1:11" ht="12.75">
      <c r="A23" s="201">
        <f t="shared" si="0"/>
        <v>12</v>
      </c>
      <c r="B23" s="201" t="s">
        <v>606</v>
      </c>
      <c r="C23" s="758"/>
      <c r="D23" s="759"/>
      <c r="E23" s="759"/>
      <c r="F23" s="759"/>
      <c r="G23" s="759"/>
      <c r="H23" s="759"/>
      <c r="I23" s="759"/>
      <c r="J23" s="759"/>
      <c r="K23" s="760"/>
    </row>
    <row r="24" spans="1:11" ht="12.75">
      <c r="A24" s="201">
        <f t="shared" si="0"/>
        <v>13</v>
      </c>
      <c r="B24" s="201" t="s">
        <v>607</v>
      </c>
      <c r="C24" s="758"/>
      <c r="D24" s="759"/>
      <c r="E24" s="759"/>
      <c r="F24" s="759"/>
      <c r="G24" s="759"/>
      <c r="H24" s="759"/>
      <c r="I24" s="759"/>
      <c r="J24" s="759"/>
      <c r="K24" s="760"/>
    </row>
    <row r="25" spans="1:11" ht="12.75">
      <c r="A25" s="201">
        <f t="shared" si="0"/>
        <v>14</v>
      </c>
      <c r="B25" s="201" t="s">
        <v>636</v>
      </c>
      <c r="C25" s="758"/>
      <c r="D25" s="759"/>
      <c r="E25" s="759"/>
      <c r="F25" s="759"/>
      <c r="G25" s="759"/>
      <c r="H25" s="759"/>
      <c r="I25" s="759"/>
      <c r="J25" s="759"/>
      <c r="K25" s="760"/>
    </row>
    <row r="26" spans="1:11" ht="12.75">
      <c r="A26" s="201">
        <f t="shared" si="0"/>
        <v>15</v>
      </c>
      <c r="B26" s="201" t="s">
        <v>608</v>
      </c>
      <c r="C26" s="758"/>
      <c r="D26" s="759"/>
      <c r="E26" s="759"/>
      <c r="F26" s="759"/>
      <c r="G26" s="759"/>
      <c r="H26" s="759"/>
      <c r="I26" s="759"/>
      <c r="J26" s="759"/>
      <c r="K26" s="760"/>
    </row>
    <row r="27" spans="1:11" ht="12.75">
      <c r="A27" s="201">
        <f t="shared" si="0"/>
        <v>16</v>
      </c>
      <c r="B27" s="201" t="s">
        <v>609</v>
      </c>
      <c r="C27" s="758"/>
      <c r="D27" s="759"/>
      <c r="E27" s="759"/>
      <c r="F27" s="759"/>
      <c r="G27" s="759"/>
      <c r="H27" s="759"/>
      <c r="I27" s="759"/>
      <c r="J27" s="759"/>
      <c r="K27" s="760"/>
    </row>
    <row r="28" spans="1:11" ht="12.75">
      <c r="A28" s="201">
        <f t="shared" si="0"/>
        <v>17</v>
      </c>
      <c r="B28" s="201" t="s">
        <v>610</v>
      </c>
      <c r="C28" s="758"/>
      <c r="D28" s="759"/>
      <c r="E28" s="759"/>
      <c r="F28" s="759"/>
      <c r="G28" s="759"/>
      <c r="H28" s="759"/>
      <c r="I28" s="759"/>
      <c r="J28" s="759"/>
      <c r="K28" s="760"/>
    </row>
    <row r="29" spans="1:11" ht="12.75">
      <c r="A29" s="201">
        <f t="shared" si="0"/>
        <v>18</v>
      </c>
      <c r="B29" s="201" t="s">
        <v>611</v>
      </c>
      <c r="C29" s="758"/>
      <c r="D29" s="759"/>
      <c r="E29" s="759"/>
      <c r="F29" s="759"/>
      <c r="G29" s="759"/>
      <c r="H29" s="759"/>
      <c r="I29" s="759"/>
      <c r="J29" s="759"/>
      <c r="K29" s="760"/>
    </row>
    <row r="30" spans="1:11" ht="12.75">
      <c r="A30" s="201">
        <f t="shared" si="0"/>
        <v>19</v>
      </c>
      <c r="B30" s="201" t="s">
        <v>637</v>
      </c>
      <c r="C30" s="758"/>
      <c r="D30" s="759"/>
      <c r="E30" s="759"/>
      <c r="F30" s="759"/>
      <c r="G30" s="759"/>
      <c r="H30" s="759"/>
      <c r="I30" s="759"/>
      <c r="J30" s="759"/>
      <c r="K30" s="760"/>
    </row>
    <row r="31" spans="1:11" ht="12.75">
      <c r="A31" s="201">
        <f t="shared" si="0"/>
        <v>20</v>
      </c>
      <c r="B31" s="201" t="s">
        <v>612</v>
      </c>
      <c r="C31" s="758"/>
      <c r="D31" s="759"/>
      <c r="E31" s="759"/>
      <c r="F31" s="759"/>
      <c r="G31" s="759"/>
      <c r="H31" s="759"/>
      <c r="I31" s="759"/>
      <c r="J31" s="759"/>
      <c r="K31" s="760"/>
    </row>
    <row r="32" spans="1:11" ht="12.75">
      <c r="A32" s="201">
        <f t="shared" si="0"/>
        <v>21</v>
      </c>
      <c r="B32" s="201" t="s">
        <v>613</v>
      </c>
      <c r="C32" s="758"/>
      <c r="D32" s="759"/>
      <c r="E32" s="759"/>
      <c r="F32" s="759"/>
      <c r="G32" s="759"/>
      <c r="H32" s="759"/>
      <c r="I32" s="759"/>
      <c r="J32" s="759"/>
      <c r="K32" s="760"/>
    </row>
    <row r="33" spans="1:11" ht="12.75">
      <c r="A33" s="201">
        <f t="shared" si="0"/>
        <v>22</v>
      </c>
      <c r="B33" s="201" t="s">
        <v>614</v>
      </c>
      <c r="C33" s="758"/>
      <c r="D33" s="759"/>
      <c r="E33" s="759"/>
      <c r="F33" s="759"/>
      <c r="G33" s="759"/>
      <c r="H33" s="759"/>
      <c r="I33" s="759"/>
      <c r="J33" s="759"/>
      <c r="K33" s="760"/>
    </row>
    <row r="34" spans="1:11" ht="12.75">
      <c r="A34" s="201">
        <f t="shared" si="0"/>
        <v>23</v>
      </c>
      <c r="B34" s="201" t="s">
        <v>615</v>
      </c>
      <c r="C34" s="758"/>
      <c r="D34" s="759"/>
      <c r="E34" s="759"/>
      <c r="F34" s="759"/>
      <c r="G34" s="759"/>
      <c r="H34" s="759"/>
      <c r="I34" s="759"/>
      <c r="J34" s="759"/>
      <c r="K34" s="760"/>
    </row>
    <row r="35" spans="1:11" ht="12.75">
      <c r="A35" s="201">
        <f t="shared" si="0"/>
        <v>24</v>
      </c>
      <c r="B35" s="201" t="s">
        <v>616</v>
      </c>
      <c r="C35" s="758"/>
      <c r="D35" s="759"/>
      <c r="E35" s="759"/>
      <c r="F35" s="759"/>
      <c r="G35" s="759"/>
      <c r="H35" s="759"/>
      <c r="I35" s="759"/>
      <c r="J35" s="759"/>
      <c r="K35" s="760"/>
    </row>
    <row r="36" spans="1:11" ht="12.75">
      <c r="A36" s="201">
        <f t="shared" si="0"/>
        <v>25</v>
      </c>
      <c r="B36" s="201" t="s">
        <v>617</v>
      </c>
      <c r="C36" s="758"/>
      <c r="D36" s="759"/>
      <c r="E36" s="759"/>
      <c r="F36" s="759"/>
      <c r="G36" s="759"/>
      <c r="H36" s="759"/>
      <c r="I36" s="759"/>
      <c r="J36" s="759"/>
      <c r="K36" s="760"/>
    </row>
    <row r="37" spans="1:11" ht="12.75">
      <c r="A37" s="201">
        <f t="shared" si="0"/>
        <v>26</v>
      </c>
      <c r="B37" s="201" t="s">
        <v>618</v>
      </c>
      <c r="C37" s="758"/>
      <c r="D37" s="759"/>
      <c r="E37" s="759"/>
      <c r="F37" s="759"/>
      <c r="G37" s="759"/>
      <c r="H37" s="759"/>
      <c r="I37" s="759"/>
      <c r="J37" s="759"/>
      <c r="K37" s="760"/>
    </row>
    <row r="38" spans="1:11" ht="12.75">
      <c r="A38" s="201">
        <f t="shared" si="0"/>
        <v>27</v>
      </c>
      <c r="B38" s="201" t="s">
        <v>619</v>
      </c>
      <c r="C38" s="758"/>
      <c r="D38" s="759"/>
      <c r="E38" s="759"/>
      <c r="F38" s="759"/>
      <c r="G38" s="759"/>
      <c r="H38" s="759"/>
      <c r="I38" s="759"/>
      <c r="J38" s="759"/>
      <c r="K38" s="760"/>
    </row>
    <row r="39" spans="1:11" ht="12.75">
      <c r="A39" s="201">
        <f t="shared" si="0"/>
        <v>28</v>
      </c>
      <c r="B39" s="143" t="s">
        <v>620</v>
      </c>
      <c r="C39" s="758"/>
      <c r="D39" s="759"/>
      <c r="E39" s="759"/>
      <c r="F39" s="759"/>
      <c r="G39" s="759"/>
      <c r="H39" s="759"/>
      <c r="I39" s="759"/>
      <c r="J39" s="759"/>
      <c r="K39" s="760"/>
    </row>
    <row r="40" spans="1:11" ht="12.75">
      <c r="A40" s="201">
        <f t="shared" si="0"/>
        <v>29</v>
      </c>
      <c r="B40" s="143" t="s">
        <v>621</v>
      </c>
      <c r="C40" s="758"/>
      <c r="D40" s="759"/>
      <c r="E40" s="759"/>
      <c r="F40" s="759"/>
      <c r="G40" s="759"/>
      <c r="H40" s="759"/>
      <c r="I40" s="759"/>
      <c r="J40" s="759"/>
      <c r="K40" s="760"/>
    </row>
    <row r="41" spans="1:11" s="10" customFormat="1" ht="12.75">
      <c r="A41" s="201">
        <f t="shared" si="0"/>
        <v>30</v>
      </c>
      <c r="B41" s="143" t="s">
        <v>622</v>
      </c>
      <c r="C41" s="758"/>
      <c r="D41" s="759"/>
      <c r="E41" s="759"/>
      <c r="F41" s="759"/>
      <c r="G41" s="759"/>
      <c r="H41" s="759"/>
      <c r="I41" s="759"/>
      <c r="J41" s="759"/>
      <c r="K41" s="760"/>
    </row>
    <row r="42" spans="1:11" s="10" customFormat="1" ht="12.75">
      <c r="A42" s="201">
        <f t="shared" si="0"/>
        <v>31</v>
      </c>
      <c r="B42" s="143" t="s">
        <v>623</v>
      </c>
      <c r="C42" s="758"/>
      <c r="D42" s="759"/>
      <c r="E42" s="759"/>
      <c r="F42" s="759"/>
      <c r="G42" s="759"/>
      <c r="H42" s="759"/>
      <c r="I42" s="759"/>
      <c r="J42" s="759"/>
      <c r="K42" s="760"/>
    </row>
    <row r="43" spans="1:11" s="18" customFormat="1" ht="12.75">
      <c r="A43" s="150"/>
      <c r="B43" s="150" t="s">
        <v>624</v>
      </c>
      <c r="C43" s="761"/>
      <c r="D43" s="762"/>
      <c r="E43" s="762"/>
      <c r="F43" s="762"/>
      <c r="G43" s="762"/>
      <c r="H43" s="762"/>
      <c r="I43" s="762"/>
      <c r="J43" s="762"/>
      <c r="K43" s="763"/>
    </row>
    <row r="44" s="10" customFormat="1" ht="12.75"/>
    <row r="45" s="10" customFormat="1" ht="12.75">
      <c r="A45" s="9" t="s">
        <v>37</v>
      </c>
    </row>
    <row r="46" spans="3:6" ht="15.75" customHeight="1">
      <c r="C46" s="754"/>
      <c r="D46" s="754"/>
      <c r="E46" s="754"/>
      <c r="F46" s="754"/>
    </row>
    <row r="47" spans="1:10" ht="12.75">
      <c r="A47" s="644"/>
      <c r="B47" s="644"/>
      <c r="C47" s="644"/>
      <c r="D47" s="644"/>
      <c r="E47" s="644"/>
      <c r="F47" s="644"/>
      <c r="G47" s="644"/>
      <c r="H47" s="644"/>
      <c r="I47" s="644"/>
      <c r="J47" s="644"/>
    </row>
    <row r="48" spans="8:11" ht="15.75">
      <c r="H48" s="621" t="s">
        <v>860</v>
      </c>
      <c r="I48" s="621"/>
      <c r="J48" s="621"/>
      <c r="K48" s="621"/>
    </row>
    <row r="49" spans="8:11" ht="15.75">
      <c r="H49" s="621" t="s">
        <v>653</v>
      </c>
      <c r="I49" s="621"/>
      <c r="J49" s="621"/>
      <c r="K49" s="621"/>
    </row>
  </sheetData>
  <sheetProtection/>
  <mergeCells count="20"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K5"/>
    <mergeCell ref="A7:B7"/>
    <mergeCell ref="I7:K7"/>
    <mergeCell ref="A47:J47"/>
    <mergeCell ref="K9:K10"/>
    <mergeCell ref="C46:F46"/>
    <mergeCell ref="H48:K48"/>
    <mergeCell ref="H49:K49"/>
    <mergeCell ref="C12:K43"/>
  </mergeCells>
  <printOptions horizontalCentered="1"/>
  <pageMargins left="0.7086614173228347" right="0.7086614173228347" top="0.43" bottom="0" header="0.31496062992125984" footer="0.31496062992125984"/>
  <pageSetup fitToHeight="1" fitToWidth="1" horizontalDpi="600" verticalDpi="600" orientation="landscape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55" zoomScaleNormal="70" zoomScaleSheetLayoutView="55" zoomScalePageLayoutView="0" workbookViewId="0" topLeftCell="A3">
      <selection activeCell="D24" sqref="D24"/>
    </sheetView>
  </sheetViews>
  <sheetFormatPr defaultColWidth="9.140625" defaultRowHeight="12.75"/>
  <cols>
    <col min="1" max="1" width="7.140625" style="6" customWidth="1"/>
    <col min="2" max="2" width="24.00390625" style="6" customWidth="1"/>
    <col min="3" max="3" width="14.57421875" style="6" customWidth="1"/>
    <col min="4" max="4" width="16.57421875" style="128" customWidth="1"/>
    <col min="5" max="8" width="18.421875" style="128" customWidth="1"/>
    <col min="9" max="16384" width="9.140625" style="6" customWidth="1"/>
  </cols>
  <sheetData>
    <row r="1" ht="12.75">
      <c r="H1" s="134" t="s">
        <v>511</v>
      </c>
    </row>
    <row r="2" spans="1:15" ht="15.75">
      <c r="A2" s="562" t="s">
        <v>0</v>
      </c>
      <c r="B2" s="562"/>
      <c r="C2" s="562"/>
      <c r="D2" s="562"/>
      <c r="E2" s="562"/>
      <c r="F2" s="562"/>
      <c r="G2" s="562"/>
      <c r="H2" s="562"/>
      <c r="I2" s="49"/>
      <c r="J2" s="49"/>
      <c r="K2" s="49"/>
      <c r="L2" s="49"/>
      <c r="M2" s="49"/>
      <c r="N2" s="49"/>
      <c r="O2" s="49"/>
    </row>
    <row r="3" spans="1:15" ht="20.25">
      <c r="A3" s="563" t="s">
        <v>695</v>
      </c>
      <c r="B3" s="563"/>
      <c r="C3" s="563"/>
      <c r="D3" s="563"/>
      <c r="E3" s="563"/>
      <c r="F3" s="563"/>
      <c r="G3" s="563"/>
      <c r="H3" s="563"/>
      <c r="I3" s="26"/>
      <c r="J3" s="26"/>
      <c r="K3" s="26"/>
      <c r="L3" s="26"/>
      <c r="M3" s="26"/>
      <c r="N3" s="26"/>
      <c r="O3" s="26"/>
    </row>
    <row r="5" spans="1:15" ht="15.75">
      <c r="A5" s="562" t="s">
        <v>510</v>
      </c>
      <c r="B5" s="562"/>
      <c r="C5" s="562"/>
      <c r="D5" s="562"/>
      <c r="E5" s="562"/>
      <c r="F5" s="562"/>
      <c r="G5" s="562"/>
      <c r="H5" s="562"/>
      <c r="I5" s="49"/>
      <c r="J5" s="49"/>
      <c r="K5" s="49"/>
      <c r="L5" s="49"/>
      <c r="M5" s="49"/>
      <c r="N5" s="49"/>
      <c r="O5" s="49"/>
    </row>
    <row r="6" spans="1:15" ht="12.75">
      <c r="A6" s="76" t="s">
        <v>671</v>
      </c>
      <c r="B6" s="76"/>
      <c r="F6" s="768" t="s">
        <v>750</v>
      </c>
      <c r="G6" s="768"/>
      <c r="H6" s="768"/>
      <c r="L6" s="55"/>
      <c r="M6" s="55"/>
      <c r="N6" s="651"/>
      <c r="O6" s="651"/>
    </row>
    <row r="7" spans="1:8" ht="31.5" customHeight="1">
      <c r="A7" s="530" t="s">
        <v>2</v>
      </c>
      <c r="B7" s="530" t="s">
        <v>3</v>
      </c>
      <c r="C7" s="724" t="s">
        <v>379</v>
      </c>
      <c r="D7" s="765" t="s">
        <v>488</v>
      </c>
      <c r="E7" s="766"/>
      <c r="F7" s="766"/>
      <c r="G7" s="766"/>
      <c r="H7" s="767"/>
    </row>
    <row r="8" spans="1:8" ht="60">
      <c r="A8" s="530"/>
      <c r="B8" s="530"/>
      <c r="C8" s="724"/>
      <c r="D8" s="208" t="s">
        <v>489</v>
      </c>
      <c r="E8" s="208" t="s">
        <v>490</v>
      </c>
      <c r="F8" s="208" t="s">
        <v>491</v>
      </c>
      <c r="G8" s="208" t="s">
        <v>568</v>
      </c>
      <c r="H8" s="208" t="s">
        <v>43</v>
      </c>
    </row>
    <row r="9" spans="1:8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2.75">
      <c r="A10" s="201">
        <v>1</v>
      </c>
      <c r="B10" s="201" t="s">
        <v>633</v>
      </c>
      <c r="C10" s="23">
        <v>1152</v>
      </c>
      <c r="D10" s="23">
        <v>234</v>
      </c>
      <c r="E10" s="23">
        <v>0</v>
      </c>
      <c r="F10" s="23">
        <v>918</v>
      </c>
      <c r="G10" s="23">
        <v>0</v>
      </c>
      <c r="H10" s="23">
        <v>0</v>
      </c>
    </row>
    <row r="11" spans="1:8" ht="12.75">
      <c r="A11" s="201">
        <f>A10+1</f>
        <v>2</v>
      </c>
      <c r="B11" s="201" t="s">
        <v>598</v>
      </c>
      <c r="C11" s="23">
        <v>1313</v>
      </c>
      <c r="D11" s="23">
        <v>0</v>
      </c>
      <c r="E11" s="23">
        <v>0</v>
      </c>
      <c r="F11" s="23">
        <v>1313</v>
      </c>
      <c r="G11" s="23">
        <v>0</v>
      </c>
      <c r="H11" s="23">
        <v>0</v>
      </c>
    </row>
    <row r="12" spans="1:8" ht="12.75">
      <c r="A12" s="201">
        <f aca="true" t="shared" si="0" ref="A12:A40">A11+1</f>
        <v>3</v>
      </c>
      <c r="B12" s="201" t="s">
        <v>634</v>
      </c>
      <c r="C12" s="23">
        <v>883</v>
      </c>
      <c r="D12" s="23">
        <v>0</v>
      </c>
      <c r="E12" s="23">
        <v>0</v>
      </c>
      <c r="F12" s="23">
        <v>0</v>
      </c>
      <c r="G12" s="23">
        <v>883</v>
      </c>
      <c r="H12" s="23">
        <v>0</v>
      </c>
    </row>
    <row r="13" spans="1:8" ht="12.75">
      <c r="A13" s="201">
        <f t="shared" si="0"/>
        <v>4</v>
      </c>
      <c r="B13" s="201" t="s">
        <v>599</v>
      </c>
      <c r="C13" s="23">
        <v>805</v>
      </c>
      <c r="D13" s="23">
        <v>750</v>
      </c>
      <c r="E13" s="23">
        <v>0</v>
      </c>
      <c r="F13" s="23">
        <v>55</v>
      </c>
      <c r="G13" s="23">
        <v>0</v>
      </c>
      <c r="H13" s="23">
        <v>0</v>
      </c>
    </row>
    <row r="14" spans="1:8" ht="12.75">
      <c r="A14" s="201">
        <f t="shared" si="0"/>
        <v>5</v>
      </c>
      <c r="B14" s="201" t="s">
        <v>600</v>
      </c>
      <c r="C14" s="23">
        <v>524</v>
      </c>
      <c r="D14" s="23">
        <v>0</v>
      </c>
      <c r="E14" s="23">
        <v>0</v>
      </c>
      <c r="F14" s="23">
        <v>524</v>
      </c>
      <c r="G14" s="23">
        <v>0</v>
      </c>
      <c r="H14" s="23">
        <v>0</v>
      </c>
    </row>
    <row r="15" spans="1:8" ht="12.75">
      <c r="A15" s="201">
        <f t="shared" si="0"/>
        <v>6</v>
      </c>
      <c r="B15" s="201" t="s">
        <v>601</v>
      </c>
      <c r="C15" s="23">
        <v>826</v>
      </c>
      <c r="D15" s="23">
        <v>0</v>
      </c>
      <c r="E15" s="23">
        <v>0</v>
      </c>
      <c r="F15" s="23">
        <v>826</v>
      </c>
      <c r="G15" s="23">
        <v>0</v>
      </c>
      <c r="H15" s="23">
        <v>0</v>
      </c>
    </row>
    <row r="16" spans="1:8" ht="12.75">
      <c r="A16" s="201">
        <f t="shared" si="0"/>
        <v>7</v>
      </c>
      <c r="B16" s="201" t="s">
        <v>602</v>
      </c>
      <c r="C16" s="23">
        <v>466</v>
      </c>
      <c r="D16" s="23">
        <v>0</v>
      </c>
      <c r="E16" s="23">
        <v>0</v>
      </c>
      <c r="F16" s="23">
        <v>466</v>
      </c>
      <c r="G16" s="23">
        <v>0</v>
      </c>
      <c r="H16" s="23">
        <v>0</v>
      </c>
    </row>
    <row r="17" spans="1:8" ht="12.75">
      <c r="A17" s="201">
        <f t="shared" si="0"/>
        <v>8</v>
      </c>
      <c r="B17" s="201" t="s">
        <v>603</v>
      </c>
      <c r="C17" s="23">
        <v>1014</v>
      </c>
      <c r="D17" s="23">
        <v>328</v>
      </c>
      <c r="E17" s="23">
        <v>0</v>
      </c>
      <c r="F17" s="23">
        <v>686</v>
      </c>
      <c r="G17" s="23">
        <v>0</v>
      </c>
      <c r="H17" s="23">
        <v>0</v>
      </c>
    </row>
    <row r="18" spans="1:8" ht="12.75">
      <c r="A18" s="201">
        <f t="shared" si="0"/>
        <v>9</v>
      </c>
      <c r="B18" s="201" t="s">
        <v>604</v>
      </c>
      <c r="C18" s="23">
        <v>685</v>
      </c>
      <c r="D18" s="23">
        <v>455</v>
      </c>
      <c r="E18" s="23">
        <v>0</v>
      </c>
      <c r="F18" s="23">
        <v>230</v>
      </c>
      <c r="G18" s="23">
        <v>0</v>
      </c>
      <c r="H18" s="23">
        <v>0</v>
      </c>
    </row>
    <row r="19" spans="1:8" ht="12.75">
      <c r="A19" s="201">
        <f t="shared" si="0"/>
        <v>10</v>
      </c>
      <c r="B19" s="201" t="s">
        <v>605</v>
      </c>
      <c r="C19" s="23">
        <v>1259</v>
      </c>
      <c r="D19" s="23">
        <v>0</v>
      </c>
      <c r="E19" s="23">
        <v>0</v>
      </c>
      <c r="F19" s="23">
        <v>1259</v>
      </c>
      <c r="G19" s="23">
        <v>0</v>
      </c>
      <c r="H19" s="23">
        <v>0</v>
      </c>
    </row>
    <row r="20" spans="1:8" ht="12.75">
      <c r="A20" s="201">
        <f t="shared" si="0"/>
        <v>11</v>
      </c>
      <c r="B20" s="201" t="s">
        <v>635</v>
      </c>
      <c r="C20" s="23">
        <v>1039</v>
      </c>
      <c r="D20" s="23">
        <v>344</v>
      </c>
      <c r="E20" s="23">
        <v>0</v>
      </c>
      <c r="F20" s="23">
        <v>695</v>
      </c>
      <c r="G20" s="23">
        <v>0</v>
      </c>
      <c r="H20" s="23">
        <v>0</v>
      </c>
    </row>
    <row r="21" spans="1:8" ht="12.75">
      <c r="A21" s="201">
        <f t="shared" si="0"/>
        <v>12</v>
      </c>
      <c r="B21" s="201" t="s">
        <v>606</v>
      </c>
      <c r="C21" s="23">
        <v>927</v>
      </c>
      <c r="D21" s="23">
        <v>0</v>
      </c>
      <c r="E21" s="23">
        <v>0</v>
      </c>
      <c r="F21" s="23">
        <v>927</v>
      </c>
      <c r="G21" s="23">
        <v>0</v>
      </c>
      <c r="H21" s="23">
        <v>0</v>
      </c>
    </row>
    <row r="22" spans="1:8" ht="12.75">
      <c r="A22" s="201">
        <f t="shared" si="0"/>
        <v>13</v>
      </c>
      <c r="B22" s="201" t="s">
        <v>607</v>
      </c>
      <c r="C22" s="23">
        <v>1340</v>
      </c>
      <c r="D22" s="23">
        <v>0</v>
      </c>
      <c r="E22" s="23">
        <v>0</v>
      </c>
      <c r="F22" s="23">
        <v>1340</v>
      </c>
      <c r="G22" s="23">
        <v>0</v>
      </c>
      <c r="H22" s="23">
        <v>0</v>
      </c>
    </row>
    <row r="23" spans="1:8" ht="12.75">
      <c r="A23" s="201">
        <f t="shared" si="0"/>
        <v>14</v>
      </c>
      <c r="B23" s="201" t="s">
        <v>636</v>
      </c>
      <c r="C23" s="23">
        <v>769</v>
      </c>
      <c r="D23" s="23">
        <v>346</v>
      </c>
      <c r="E23" s="23">
        <v>0</v>
      </c>
      <c r="F23" s="23">
        <v>423</v>
      </c>
      <c r="G23" s="23">
        <v>0</v>
      </c>
      <c r="H23" s="23">
        <v>0</v>
      </c>
    </row>
    <row r="24" spans="1:8" ht="12.75">
      <c r="A24" s="201">
        <f t="shared" si="0"/>
        <v>15</v>
      </c>
      <c r="B24" s="201" t="s">
        <v>608</v>
      </c>
      <c r="C24" s="23">
        <v>910</v>
      </c>
      <c r="D24" s="23">
        <v>0</v>
      </c>
      <c r="E24" s="23">
        <v>0</v>
      </c>
      <c r="F24" s="23">
        <v>910</v>
      </c>
      <c r="G24" s="23">
        <v>0</v>
      </c>
      <c r="H24" s="23">
        <v>0</v>
      </c>
    </row>
    <row r="25" spans="1:8" ht="12.75">
      <c r="A25" s="201">
        <f t="shared" si="0"/>
        <v>16</v>
      </c>
      <c r="B25" s="201" t="s">
        <v>609</v>
      </c>
      <c r="C25" s="23">
        <v>524</v>
      </c>
      <c r="D25" s="197">
        <v>102</v>
      </c>
      <c r="E25" s="23">
        <v>0</v>
      </c>
      <c r="F25" s="23">
        <v>405</v>
      </c>
      <c r="G25" s="197">
        <v>17</v>
      </c>
      <c r="H25" s="23">
        <v>0</v>
      </c>
    </row>
    <row r="26" spans="1:8" ht="12.75">
      <c r="A26" s="201">
        <f t="shared" si="0"/>
        <v>17</v>
      </c>
      <c r="B26" s="201" t="s">
        <v>610</v>
      </c>
      <c r="C26" s="23">
        <v>840</v>
      </c>
      <c r="D26" s="197">
        <v>0</v>
      </c>
      <c r="E26" s="23">
        <v>0</v>
      </c>
      <c r="F26" s="23">
        <v>840</v>
      </c>
      <c r="G26" s="197">
        <v>0</v>
      </c>
      <c r="H26" s="23">
        <v>0</v>
      </c>
    </row>
    <row r="27" spans="1:8" ht="12.75">
      <c r="A27" s="201">
        <f t="shared" si="0"/>
        <v>18</v>
      </c>
      <c r="B27" s="201" t="s">
        <v>611</v>
      </c>
      <c r="C27" s="23">
        <v>1427</v>
      </c>
      <c r="D27" s="197">
        <v>0</v>
      </c>
      <c r="E27" s="23">
        <v>0</v>
      </c>
      <c r="F27" s="23">
        <v>1427</v>
      </c>
      <c r="G27" s="197">
        <v>0</v>
      </c>
      <c r="H27" s="23">
        <v>0</v>
      </c>
    </row>
    <row r="28" spans="1:8" ht="12.75">
      <c r="A28" s="201">
        <f t="shared" si="0"/>
        <v>19</v>
      </c>
      <c r="B28" s="201" t="s">
        <v>637</v>
      </c>
      <c r="C28" s="23">
        <v>784</v>
      </c>
      <c r="D28" s="197">
        <v>364</v>
      </c>
      <c r="E28" s="23">
        <v>0</v>
      </c>
      <c r="F28" s="23">
        <v>420</v>
      </c>
      <c r="G28" s="197">
        <v>0</v>
      </c>
      <c r="H28" s="23">
        <v>0</v>
      </c>
    </row>
    <row r="29" spans="1:8" ht="12.75">
      <c r="A29" s="201">
        <f t="shared" si="0"/>
        <v>20</v>
      </c>
      <c r="B29" s="201" t="s">
        <v>612</v>
      </c>
      <c r="C29" s="23">
        <v>1200</v>
      </c>
      <c r="D29" s="197">
        <v>754</v>
      </c>
      <c r="E29" s="23">
        <v>0</v>
      </c>
      <c r="F29" s="23">
        <v>446</v>
      </c>
      <c r="G29" s="197">
        <v>0</v>
      </c>
      <c r="H29" s="23">
        <v>0</v>
      </c>
    </row>
    <row r="30" spans="1:8" ht="12.75">
      <c r="A30" s="201">
        <f t="shared" si="0"/>
        <v>21</v>
      </c>
      <c r="B30" s="201" t="s">
        <v>613</v>
      </c>
      <c r="C30" s="23">
        <v>554</v>
      </c>
      <c r="D30" s="197">
        <v>28</v>
      </c>
      <c r="E30" s="23">
        <v>0</v>
      </c>
      <c r="F30" s="23">
        <v>526</v>
      </c>
      <c r="G30" s="197">
        <v>0</v>
      </c>
      <c r="H30" s="23">
        <v>0</v>
      </c>
    </row>
    <row r="31" spans="1:8" ht="12.75">
      <c r="A31" s="201">
        <f t="shared" si="0"/>
        <v>22</v>
      </c>
      <c r="B31" s="201" t="s">
        <v>614</v>
      </c>
      <c r="C31" s="23">
        <v>500</v>
      </c>
      <c r="D31" s="197">
        <v>13</v>
      </c>
      <c r="E31" s="23">
        <v>0</v>
      </c>
      <c r="F31" s="23">
        <v>487</v>
      </c>
      <c r="G31" s="197">
        <v>0</v>
      </c>
      <c r="H31" s="23">
        <v>0</v>
      </c>
    </row>
    <row r="32" spans="1:8" ht="12.75">
      <c r="A32" s="201">
        <f t="shared" si="0"/>
        <v>23</v>
      </c>
      <c r="B32" s="201" t="s">
        <v>615</v>
      </c>
      <c r="C32" s="23">
        <v>1333</v>
      </c>
      <c r="D32" s="197">
        <v>206</v>
      </c>
      <c r="E32" s="23">
        <v>7</v>
      </c>
      <c r="F32" s="23">
        <v>1068</v>
      </c>
      <c r="G32" s="197">
        <v>52</v>
      </c>
      <c r="H32" s="23">
        <v>0</v>
      </c>
    </row>
    <row r="33" spans="1:8" ht="12.75">
      <c r="A33" s="201">
        <f t="shared" si="0"/>
        <v>24</v>
      </c>
      <c r="B33" s="201" t="s">
        <v>616</v>
      </c>
      <c r="C33" s="23">
        <v>1288</v>
      </c>
      <c r="D33" s="197">
        <v>0</v>
      </c>
      <c r="E33" s="23">
        <v>0</v>
      </c>
      <c r="F33" s="23">
        <v>780</v>
      </c>
      <c r="G33" s="197">
        <v>508</v>
      </c>
      <c r="H33" s="23">
        <v>0</v>
      </c>
    </row>
    <row r="34" spans="1:8" ht="12.75">
      <c r="A34" s="201">
        <f t="shared" si="0"/>
        <v>25</v>
      </c>
      <c r="B34" s="201" t="s">
        <v>617</v>
      </c>
      <c r="C34" s="23">
        <v>994</v>
      </c>
      <c r="D34" s="197">
        <v>0</v>
      </c>
      <c r="E34" s="23">
        <v>0</v>
      </c>
      <c r="F34" s="23">
        <v>994</v>
      </c>
      <c r="G34" s="197">
        <v>0</v>
      </c>
      <c r="H34" s="23">
        <v>0</v>
      </c>
    </row>
    <row r="35" spans="1:8" ht="12.75">
      <c r="A35" s="201">
        <f t="shared" si="0"/>
        <v>26</v>
      </c>
      <c r="B35" s="201" t="s">
        <v>618</v>
      </c>
      <c r="C35" s="23">
        <v>971</v>
      </c>
      <c r="D35" s="197">
        <v>0</v>
      </c>
      <c r="E35" s="23">
        <v>0</v>
      </c>
      <c r="F35" s="23">
        <v>971</v>
      </c>
      <c r="G35" s="197">
        <v>0</v>
      </c>
      <c r="H35" s="23">
        <v>0</v>
      </c>
    </row>
    <row r="36" spans="1:8" ht="12.75">
      <c r="A36" s="201">
        <f t="shared" si="0"/>
        <v>27</v>
      </c>
      <c r="B36" s="201" t="s">
        <v>619</v>
      </c>
      <c r="C36" s="23">
        <v>1034</v>
      </c>
      <c r="D36" s="197">
        <v>32</v>
      </c>
      <c r="E36" s="23">
        <v>0</v>
      </c>
      <c r="F36" s="23">
        <v>1002</v>
      </c>
      <c r="G36" s="197">
        <v>0</v>
      </c>
      <c r="H36" s="23">
        <v>0</v>
      </c>
    </row>
    <row r="37" spans="1:8" ht="12.75">
      <c r="A37" s="201">
        <f t="shared" si="0"/>
        <v>28</v>
      </c>
      <c r="B37" s="143" t="s">
        <v>620</v>
      </c>
      <c r="C37" s="23">
        <v>514</v>
      </c>
      <c r="D37" s="197">
        <v>0</v>
      </c>
      <c r="E37" s="23">
        <v>0</v>
      </c>
      <c r="F37" s="23">
        <v>514</v>
      </c>
      <c r="G37" s="197">
        <v>0</v>
      </c>
      <c r="H37" s="23">
        <v>0</v>
      </c>
    </row>
    <row r="38" spans="1:8" ht="12.75">
      <c r="A38" s="201">
        <f t="shared" si="0"/>
        <v>29</v>
      </c>
      <c r="B38" s="143" t="s">
        <v>621</v>
      </c>
      <c r="C38" s="23">
        <v>654</v>
      </c>
      <c r="D38" s="310">
        <v>0</v>
      </c>
      <c r="E38" s="23">
        <v>0</v>
      </c>
      <c r="F38" s="23">
        <v>654</v>
      </c>
      <c r="G38" s="310">
        <v>0</v>
      </c>
      <c r="H38" s="23">
        <v>0</v>
      </c>
    </row>
    <row r="39" spans="1:8" ht="15" customHeight="1">
      <c r="A39" s="201">
        <f t="shared" si="0"/>
        <v>30</v>
      </c>
      <c r="B39" s="143" t="s">
        <v>622</v>
      </c>
      <c r="C39" s="23">
        <v>525</v>
      </c>
      <c r="D39" s="310">
        <v>0</v>
      </c>
      <c r="E39" s="23">
        <v>0</v>
      </c>
      <c r="F39" s="23">
        <v>525</v>
      </c>
      <c r="G39" s="310">
        <v>0</v>
      </c>
      <c r="H39" s="23">
        <v>0</v>
      </c>
    </row>
    <row r="40" spans="1:8" ht="15" customHeight="1">
      <c r="A40" s="201">
        <f t="shared" si="0"/>
        <v>31</v>
      </c>
      <c r="B40" s="143" t="s">
        <v>623</v>
      </c>
      <c r="C40" s="23">
        <v>678</v>
      </c>
      <c r="D40" s="310">
        <v>0</v>
      </c>
      <c r="E40" s="23">
        <v>0</v>
      </c>
      <c r="F40" s="23">
        <v>678</v>
      </c>
      <c r="G40" s="310">
        <v>0</v>
      </c>
      <c r="H40" s="23">
        <v>0</v>
      </c>
    </row>
    <row r="41" spans="1:8" ht="15" customHeight="1">
      <c r="A41" s="150"/>
      <c r="B41" s="150" t="s">
        <v>624</v>
      </c>
      <c r="C41" s="67">
        <f aca="true" t="shared" si="1" ref="C41:H41">SUM(C10:C40)</f>
        <v>27732</v>
      </c>
      <c r="D41" s="67">
        <f t="shared" si="1"/>
        <v>3956</v>
      </c>
      <c r="E41" s="67">
        <f t="shared" si="1"/>
        <v>7</v>
      </c>
      <c r="F41" s="67">
        <f t="shared" si="1"/>
        <v>22309</v>
      </c>
      <c r="G41" s="67">
        <f t="shared" si="1"/>
        <v>1460</v>
      </c>
      <c r="H41" s="67">
        <f t="shared" si="1"/>
        <v>0</v>
      </c>
    </row>
    <row r="42" spans="1:8" ht="15" customHeight="1">
      <c r="A42" s="106"/>
      <c r="B42" s="106"/>
      <c r="C42" s="106"/>
      <c r="D42" s="163"/>
      <c r="E42" s="163"/>
      <c r="F42" s="163"/>
      <c r="G42" s="163"/>
      <c r="H42" s="163"/>
    </row>
    <row r="44" spans="5:8" ht="15.75">
      <c r="E44" s="621" t="s">
        <v>860</v>
      </c>
      <c r="F44" s="621"/>
      <c r="G44" s="621"/>
      <c r="H44" s="621"/>
    </row>
    <row r="45" spans="5:8" ht="15.75">
      <c r="E45" s="621" t="s">
        <v>653</v>
      </c>
      <c r="F45" s="621"/>
      <c r="G45" s="621"/>
      <c r="H45" s="621"/>
    </row>
  </sheetData>
  <sheetProtection/>
  <mergeCells count="11">
    <mergeCell ref="N6:O6"/>
    <mergeCell ref="A7:A8"/>
    <mergeCell ref="B7:B8"/>
    <mergeCell ref="C7:C8"/>
    <mergeCell ref="F6:H6"/>
    <mergeCell ref="A2:H2"/>
    <mergeCell ref="A3:H3"/>
    <mergeCell ref="A5:H5"/>
    <mergeCell ref="D7:H7"/>
    <mergeCell ref="E44:H44"/>
    <mergeCell ref="E45:H45"/>
  </mergeCells>
  <printOptions horizontalCentered="1"/>
  <pageMargins left="0.52" right="0.52" top="0.47" bottom="0" header="0.31496062992125984" footer="0.31496062992125984"/>
  <pageSetup fitToHeight="1" fitToWidth="1" horizontalDpi="600" verticalDpi="600" orientation="landscape" paperSize="9" scale="79" r:id="rId1"/>
  <colBreaks count="1" manualBreakCount="1">
    <brk id="8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9.140625" style="6" customWidth="1"/>
    <col min="2" max="2" width="18.421875" style="6" customWidth="1"/>
    <col min="3" max="3" width="16.7109375" style="6" customWidth="1"/>
    <col min="4" max="4" width="9.421875" style="6" customWidth="1"/>
    <col min="5" max="5" width="9.00390625" style="6" customWidth="1"/>
    <col min="6" max="6" width="11.57421875" style="6" customWidth="1"/>
    <col min="7" max="8" width="10.421875" style="6" customWidth="1"/>
    <col min="9" max="10" width="10.421875" style="128" customWidth="1"/>
    <col min="11" max="11" width="10.57421875" style="6" customWidth="1"/>
    <col min="12" max="12" width="10.421875" style="6" customWidth="1"/>
    <col min="13" max="13" width="11.57421875" style="6" customWidth="1"/>
    <col min="14" max="14" width="13.00390625" style="6" customWidth="1"/>
    <col min="15" max="16384" width="9.140625" style="6" customWidth="1"/>
  </cols>
  <sheetData>
    <row r="1" spans="1:14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N1" s="209" t="s">
        <v>513</v>
      </c>
    </row>
    <row r="2" spans="1:14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4" spans="1:14" ht="15.75">
      <c r="A4" s="562" t="s">
        <v>512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</row>
    <row r="5" spans="1:14" ht="12.75">
      <c r="A5" s="76" t="s">
        <v>665</v>
      </c>
      <c r="B5" s="76"/>
      <c r="C5" s="76"/>
      <c r="D5" s="76"/>
      <c r="E5" s="76"/>
      <c r="F5" s="76"/>
      <c r="G5" s="76"/>
      <c r="L5" s="640" t="s">
        <v>750</v>
      </c>
      <c r="M5" s="640"/>
      <c r="N5" s="640"/>
    </row>
    <row r="6" spans="1:14" ht="28.5" customHeight="1">
      <c r="A6" s="642" t="s">
        <v>2</v>
      </c>
      <c r="B6" s="642" t="s">
        <v>33</v>
      </c>
      <c r="C6" s="530" t="s">
        <v>392</v>
      </c>
      <c r="D6" s="538" t="s">
        <v>446</v>
      </c>
      <c r="E6" s="538"/>
      <c r="F6" s="538"/>
      <c r="G6" s="538"/>
      <c r="H6" s="539"/>
      <c r="I6" s="769" t="s">
        <v>539</v>
      </c>
      <c r="J6" s="769" t="s">
        <v>540</v>
      </c>
      <c r="K6" s="530" t="s">
        <v>492</v>
      </c>
      <c r="L6" s="530"/>
      <c r="M6" s="530"/>
      <c r="N6" s="530"/>
    </row>
    <row r="7" spans="1:14" ht="39" customHeight="1">
      <c r="A7" s="643"/>
      <c r="B7" s="643"/>
      <c r="C7" s="530"/>
      <c r="D7" s="1" t="s">
        <v>445</v>
      </c>
      <c r="E7" s="1" t="s">
        <v>393</v>
      </c>
      <c r="F7" s="159" t="s">
        <v>394</v>
      </c>
      <c r="G7" s="1" t="s">
        <v>395</v>
      </c>
      <c r="H7" s="1" t="s">
        <v>43</v>
      </c>
      <c r="I7" s="769"/>
      <c r="J7" s="769"/>
      <c r="K7" s="1" t="s">
        <v>396</v>
      </c>
      <c r="L7" s="14" t="s">
        <v>493</v>
      </c>
      <c r="M7" s="1" t="s">
        <v>397</v>
      </c>
      <c r="N7" s="14" t="s">
        <v>398</v>
      </c>
    </row>
    <row r="8" spans="1:14" ht="12.7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149" t="s">
        <v>266</v>
      </c>
      <c r="I8" s="210" t="s">
        <v>285</v>
      </c>
      <c r="J8" s="210" t="s">
        <v>286</v>
      </c>
      <c r="K8" s="149" t="s">
        <v>287</v>
      </c>
      <c r="L8" s="149" t="s">
        <v>315</v>
      </c>
      <c r="M8" s="149" t="s">
        <v>316</v>
      </c>
      <c r="N8" s="149" t="s">
        <v>317</v>
      </c>
    </row>
    <row r="9" spans="1:14" ht="12.75">
      <c r="A9" s="201">
        <v>1</v>
      </c>
      <c r="B9" s="201" t="s">
        <v>633</v>
      </c>
      <c r="C9" s="340">
        <v>1152</v>
      </c>
      <c r="D9" s="340">
        <v>246</v>
      </c>
      <c r="E9" s="340">
        <v>22</v>
      </c>
      <c r="F9" s="340">
        <v>341</v>
      </c>
      <c r="G9" s="340">
        <v>52</v>
      </c>
      <c r="H9" s="340">
        <f>C9-D9-E9-F9-G9</f>
        <v>491</v>
      </c>
      <c r="I9" s="368">
        <v>1152</v>
      </c>
      <c r="J9" s="368">
        <v>1152</v>
      </c>
      <c r="K9" s="340">
        <v>1152</v>
      </c>
      <c r="L9" s="340">
        <v>917</v>
      </c>
      <c r="M9" s="340">
        <v>150</v>
      </c>
      <c r="N9" s="340">
        <v>1152</v>
      </c>
    </row>
    <row r="10" spans="1:14" ht="12.75">
      <c r="A10" s="201">
        <f>A9+1</f>
        <v>2</v>
      </c>
      <c r="B10" s="201" t="s">
        <v>598</v>
      </c>
      <c r="C10" s="340">
        <v>1313</v>
      </c>
      <c r="D10" s="340">
        <v>0</v>
      </c>
      <c r="E10" s="340">
        <v>321</v>
      </c>
      <c r="F10" s="340">
        <v>951</v>
      </c>
      <c r="G10" s="340">
        <v>1</v>
      </c>
      <c r="H10" s="340">
        <f aca="true" t="shared" si="0" ref="H10:H39">C10-D10-E10-F10-G10</f>
        <v>40</v>
      </c>
      <c r="I10" s="368">
        <v>1313</v>
      </c>
      <c r="J10" s="368">
        <v>1313</v>
      </c>
      <c r="K10" s="340">
        <v>1313</v>
      </c>
      <c r="L10" s="340">
        <v>535</v>
      </c>
      <c r="M10" s="340">
        <v>464</v>
      </c>
      <c r="N10" s="340">
        <v>1313</v>
      </c>
    </row>
    <row r="11" spans="1:14" ht="12.75">
      <c r="A11" s="201">
        <f aca="true" t="shared" si="1" ref="A11:A39">A10+1</f>
        <v>3</v>
      </c>
      <c r="B11" s="201" t="s">
        <v>634</v>
      </c>
      <c r="C11" s="340">
        <v>883</v>
      </c>
      <c r="D11" s="340">
        <v>297</v>
      </c>
      <c r="E11" s="340">
        <v>568</v>
      </c>
      <c r="F11" s="340">
        <v>18</v>
      </c>
      <c r="G11" s="340">
        <v>0</v>
      </c>
      <c r="H11" s="340">
        <f t="shared" si="0"/>
        <v>0</v>
      </c>
      <c r="I11" s="368">
        <v>883</v>
      </c>
      <c r="J11" s="368">
        <v>883</v>
      </c>
      <c r="K11" s="340">
        <v>883</v>
      </c>
      <c r="L11" s="340">
        <v>679</v>
      </c>
      <c r="M11" s="340">
        <v>0</v>
      </c>
      <c r="N11" s="340">
        <v>883</v>
      </c>
    </row>
    <row r="12" spans="1:14" ht="12.75">
      <c r="A12" s="201">
        <f t="shared" si="1"/>
        <v>4</v>
      </c>
      <c r="B12" s="201" t="s">
        <v>599</v>
      </c>
      <c r="C12" s="340">
        <v>805</v>
      </c>
      <c r="D12" s="340">
        <v>169</v>
      </c>
      <c r="E12" s="340">
        <v>254</v>
      </c>
      <c r="F12" s="340">
        <v>221</v>
      </c>
      <c r="G12" s="340">
        <v>40</v>
      </c>
      <c r="H12" s="340">
        <f t="shared" si="0"/>
        <v>121</v>
      </c>
      <c r="I12" s="368">
        <v>805</v>
      </c>
      <c r="J12" s="368">
        <v>805</v>
      </c>
      <c r="K12" s="340">
        <v>805</v>
      </c>
      <c r="L12" s="340">
        <v>342</v>
      </c>
      <c r="M12" s="340">
        <v>184</v>
      </c>
      <c r="N12" s="340">
        <v>805</v>
      </c>
    </row>
    <row r="13" spans="1:14" ht="12.75">
      <c r="A13" s="201">
        <f t="shared" si="1"/>
        <v>5</v>
      </c>
      <c r="B13" s="201" t="s">
        <v>600</v>
      </c>
      <c r="C13" s="340">
        <v>524</v>
      </c>
      <c r="D13" s="340">
        <v>358</v>
      </c>
      <c r="E13" s="340">
        <v>25</v>
      </c>
      <c r="F13" s="340">
        <v>13</v>
      </c>
      <c r="G13" s="340">
        <v>35</v>
      </c>
      <c r="H13" s="340">
        <f t="shared" si="0"/>
        <v>93</v>
      </c>
      <c r="I13" s="368">
        <v>524</v>
      </c>
      <c r="J13" s="368">
        <v>524</v>
      </c>
      <c r="K13" s="340">
        <v>524</v>
      </c>
      <c r="L13" s="340">
        <v>375</v>
      </c>
      <c r="M13" s="340">
        <v>159</v>
      </c>
      <c r="N13" s="340">
        <v>524</v>
      </c>
    </row>
    <row r="14" spans="1:14" ht="12.75">
      <c r="A14" s="201">
        <f t="shared" si="1"/>
        <v>6</v>
      </c>
      <c r="B14" s="201" t="s">
        <v>601</v>
      </c>
      <c r="C14" s="340">
        <v>826</v>
      </c>
      <c r="D14" s="340">
        <v>64</v>
      </c>
      <c r="E14" s="340">
        <v>183</v>
      </c>
      <c r="F14" s="340">
        <v>326</v>
      </c>
      <c r="G14" s="340">
        <v>47</v>
      </c>
      <c r="H14" s="340">
        <f t="shared" si="0"/>
        <v>206</v>
      </c>
      <c r="I14" s="368">
        <v>826</v>
      </c>
      <c r="J14" s="368">
        <v>826</v>
      </c>
      <c r="K14" s="340">
        <v>826</v>
      </c>
      <c r="L14" s="340">
        <v>268</v>
      </c>
      <c r="M14" s="340">
        <v>191</v>
      </c>
      <c r="N14" s="340">
        <v>826</v>
      </c>
    </row>
    <row r="15" spans="1:14" ht="12.75">
      <c r="A15" s="201">
        <f t="shared" si="1"/>
        <v>7</v>
      </c>
      <c r="B15" s="201" t="s">
        <v>602</v>
      </c>
      <c r="C15" s="340">
        <v>466</v>
      </c>
      <c r="D15" s="340">
        <v>0</v>
      </c>
      <c r="E15" s="340">
        <v>280</v>
      </c>
      <c r="F15" s="340">
        <v>186</v>
      </c>
      <c r="G15" s="340">
        <v>0</v>
      </c>
      <c r="H15" s="340">
        <f t="shared" si="0"/>
        <v>0</v>
      </c>
      <c r="I15" s="368">
        <v>466</v>
      </c>
      <c r="J15" s="368">
        <v>466</v>
      </c>
      <c r="K15" s="340">
        <v>466</v>
      </c>
      <c r="L15" s="340">
        <v>246</v>
      </c>
      <c r="M15" s="340">
        <v>83</v>
      </c>
      <c r="N15" s="340">
        <v>466</v>
      </c>
    </row>
    <row r="16" spans="1:14" ht="12.75">
      <c r="A16" s="201">
        <f t="shared" si="1"/>
        <v>8</v>
      </c>
      <c r="B16" s="201" t="s">
        <v>603</v>
      </c>
      <c r="C16" s="340">
        <v>1014</v>
      </c>
      <c r="D16" s="340">
        <v>173</v>
      </c>
      <c r="E16" s="340">
        <v>363</v>
      </c>
      <c r="F16" s="340">
        <v>147</v>
      </c>
      <c r="G16" s="340">
        <v>0</v>
      </c>
      <c r="H16" s="340">
        <f t="shared" si="0"/>
        <v>331</v>
      </c>
      <c r="I16" s="368">
        <v>1014</v>
      </c>
      <c r="J16" s="368">
        <v>1014</v>
      </c>
      <c r="K16" s="340">
        <v>1014</v>
      </c>
      <c r="L16" s="340">
        <v>930</v>
      </c>
      <c r="M16" s="340">
        <v>866</v>
      </c>
      <c r="N16" s="340">
        <v>1014</v>
      </c>
    </row>
    <row r="17" spans="1:14" ht="12.75">
      <c r="A17" s="201">
        <f t="shared" si="1"/>
        <v>9</v>
      </c>
      <c r="B17" s="201" t="s">
        <v>604</v>
      </c>
      <c r="C17" s="340">
        <v>685</v>
      </c>
      <c r="D17" s="340">
        <v>0</v>
      </c>
      <c r="E17" s="340">
        <v>205</v>
      </c>
      <c r="F17" s="340">
        <v>367</v>
      </c>
      <c r="G17" s="340">
        <v>14</v>
      </c>
      <c r="H17" s="340">
        <f t="shared" si="0"/>
        <v>99</v>
      </c>
      <c r="I17" s="368">
        <v>685</v>
      </c>
      <c r="J17" s="368">
        <v>685</v>
      </c>
      <c r="K17" s="340">
        <v>685</v>
      </c>
      <c r="L17" s="340">
        <v>557</v>
      </c>
      <c r="M17" s="482" t="s">
        <v>675</v>
      </c>
      <c r="N17" s="340">
        <v>685</v>
      </c>
    </row>
    <row r="18" spans="1:14" ht="12.75">
      <c r="A18" s="201">
        <f t="shared" si="1"/>
        <v>10</v>
      </c>
      <c r="B18" s="201" t="s">
        <v>605</v>
      </c>
      <c r="C18" s="340">
        <v>1259</v>
      </c>
      <c r="D18" s="340">
        <v>216</v>
      </c>
      <c r="E18" s="340">
        <v>578</v>
      </c>
      <c r="F18" s="340">
        <v>342</v>
      </c>
      <c r="G18" s="340">
        <v>14</v>
      </c>
      <c r="H18" s="340">
        <f t="shared" si="0"/>
        <v>109</v>
      </c>
      <c r="I18" s="368">
        <v>1259</v>
      </c>
      <c r="J18" s="368">
        <v>1259</v>
      </c>
      <c r="K18" s="340">
        <v>1259</v>
      </c>
      <c r="L18" s="340">
        <v>732</v>
      </c>
      <c r="M18" s="340">
        <v>573</v>
      </c>
      <c r="N18" s="340">
        <v>1259</v>
      </c>
    </row>
    <row r="19" spans="1:14" ht="12.75">
      <c r="A19" s="201">
        <f t="shared" si="1"/>
        <v>11</v>
      </c>
      <c r="B19" s="201" t="s">
        <v>635</v>
      </c>
      <c r="C19" s="340">
        <v>1039</v>
      </c>
      <c r="D19" s="340">
        <v>109</v>
      </c>
      <c r="E19" s="340">
        <v>129</v>
      </c>
      <c r="F19" s="340">
        <v>655</v>
      </c>
      <c r="G19" s="340">
        <v>36</v>
      </c>
      <c r="H19" s="340">
        <f t="shared" si="0"/>
        <v>110</v>
      </c>
      <c r="I19" s="368">
        <v>1039</v>
      </c>
      <c r="J19" s="368">
        <v>1039</v>
      </c>
      <c r="K19" s="340">
        <v>1039</v>
      </c>
      <c r="L19" s="340">
        <v>731</v>
      </c>
      <c r="M19" s="340">
        <v>479</v>
      </c>
      <c r="N19" s="340">
        <v>1039</v>
      </c>
    </row>
    <row r="20" spans="1:14" ht="12.75">
      <c r="A20" s="201">
        <f t="shared" si="1"/>
        <v>12</v>
      </c>
      <c r="B20" s="201" t="s">
        <v>606</v>
      </c>
      <c r="C20" s="340">
        <v>927</v>
      </c>
      <c r="D20" s="340">
        <v>205</v>
      </c>
      <c r="E20" s="340">
        <v>602</v>
      </c>
      <c r="F20" s="340">
        <v>0</v>
      </c>
      <c r="G20" s="340">
        <v>0</v>
      </c>
      <c r="H20" s="340">
        <f t="shared" si="0"/>
        <v>120</v>
      </c>
      <c r="I20" s="368">
        <v>927</v>
      </c>
      <c r="J20" s="368">
        <v>927</v>
      </c>
      <c r="K20" s="340">
        <v>927</v>
      </c>
      <c r="L20" s="340">
        <v>115</v>
      </c>
      <c r="M20" s="340">
        <v>927</v>
      </c>
      <c r="N20" s="340">
        <v>927</v>
      </c>
    </row>
    <row r="21" spans="1:14" ht="12.75">
      <c r="A21" s="201">
        <f t="shared" si="1"/>
        <v>13</v>
      </c>
      <c r="B21" s="201" t="s">
        <v>607</v>
      </c>
      <c r="C21" s="340">
        <v>1340</v>
      </c>
      <c r="D21" s="340">
        <v>0</v>
      </c>
      <c r="E21" s="340">
        <v>560</v>
      </c>
      <c r="F21" s="340">
        <v>487</v>
      </c>
      <c r="G21" s="340">
        <v>0</v>
      </c>
      <c r="H21" s="340">
        <f t="shared" si="0"/>
        <v>293</v>
      </c>
      <c r="I21" s="368">
        <v>1340</v>
      </c>
      <c r="J21" s="368">
        <v>1340</v>
      </c>
      <c r="K21" s="340">
        <v>1340</v>
      </c>
      <c r="L21" s="340">
        <v>1156</v>
      </c>
      <c r="M21" s="340">
        <v>903</v>
      </c>
      <c r="N21" s="340">
        <v>1340</v>
      </c>
    </row>
    <row r="22" spans="1:14" ht="12.75">
      <c r="A22" s="201">
        <f t="shared" si="1"/>
        <v>14</v>
      </c>
      <c r="B22" s="201" t="s">
        <v>636</v>
      </c>
      <c r="C22" s="340">
        <v>769</v>
      </c>
      <c r="D22" s="340">
        <v>0</v>
      </c>
      <c r="E22" s="340">
        <v>260</v>
      </c>
      <c r="F22" s="340">
        <v>180</v>
      </c>
      <c r="G22" s="340">
        <v>222</v>
      </c>
      <c r="H22" s="340">
        <f t="shared" si="0"/>
        <v>107</v>
      </c>
      <c r="I22" s="368">
        <v>769</v>
      </c>
      <c r="J22" s="368">
        <v>769</v>
      </c>
      <c r="K22" s="340">
        <v>769</v>
      </c>
      <c r="L22" s="340">
        <v>119</v>
      </c>
      <c r="M22" s="340">
        <v>41</v>
      </c>
      <c r="N22" s="340">
        <v>769</v>
      </c>
    </row>
    <row r="23" spans="1:14" ht="12.75">
      <c r="A23" s="201">
        <f t="shared" si="1"/>
        <v>15</v>
      </c>
      <c r="B23" s="201" t="s">
        <v>608</v>
      </c>
      <c r="C23" s="340">
        <v>910</v>
      </c>
      <c r="D23" s="340">
        <v>0</v>
      </c>
      <c r="E23" s="340">
        <v>747</v>
      </c>
      <c r="F23" s="340">
        <v>163</v>
      </c>
      <c r="G23" s="340">
        <v>0</v>
      </c>
      <c r="H23" s="340">
        <f t="shared" si="0"/>
        <v>0</v>
      </c>
      <c r="I23" s="368">
        <v>910</v>
      </c>
      <c r="J23" s="368">
        <v>910</v>
      </c>
      <c r="K23" s="340">
        <v>910</v>
      </c>
      <c r="L23" s="340">
        <v>719</v>
      </c>
      <c r="M23" s="340">
        <v>457</v>
      </c>
      <c r="N23" s="340">
        <v>910</v>
      </c>
    </row>
    <row r="24" spans="1:14" ht="12.75">
      <c r="A24" s="201">
        <f t="shared" si="1"/>
        <v>16</v>
      </c>
      <c r="B24" s="201" t="s">
        <v>609</v>
      </c>
      <c r="C24" s="340">
        <v>524</v>
      </c>
      <c r="D24" s="340">
        <v>26</v>
      </c>
      <c r="E24" s="340">
        <v>328</v>
      </c>
      <c r="F24" s="340">
        <v>12</v>
      </c>
      <c r="G24" s="340">
        <v>25.999999999999993</v>
      </c>
      <c r="H24" s="340">
        <f t="shared" si="0"/>
        <v>132</v>
      </c>
      <c r="I24" s="368">
        <v>524</v>
      </c>
      <c r="J24" s="368">
        <v>524</v>
      </c>
      <c r="K24" s="340">
        <v>524</v>
      </c>
      <c r="L24" s="340">
        <v>415</v>
      </c>
      <c r="M24" s="340">
        <v>85</v>
      </c>
      <c r="N24" s="340">
        <v>524</v>
      </c>
    </row>
    <row r="25" spans="1:14" ht="12.75">
      <c r="A25" s="201">
        <f t="shared" si="1"/>
        <v>17</v>
      </c>
      <c r="B25" s="201" t="s">
        <v>610</v>
      </c>
      <c r="C25" s="340">
        <v>840</v>
      </c>
      <c r="D25" s="340">
        <v>0</v>
      </c>
      <c r="E25" s="340">
        <v>293</v>
      </c>
      <c r="F25" s="340">
        <v>259</v>
      </c>
      <c r="G25" s="340">
        <v>0</v>
      </c>
      <c r="H25" s="340">
        <f t="shared" si="0"/>
        <v>288</v>
      </c>
      <c r="I25" s="368">
        <v>840</v>
      </c>
      <c r="J25" s="368">
        <v>840</v>
      </c>
      <c r="K25" s="340">
        <v>840</v>
      </c>
      <c r="L25" s="340">
        <v>679</v>
      </c>
      <c r="M25" s="340">
        <v>221</v>
      </c>
      <c r="N25" s="340">
        <v>840</v>
      </c>
    </row>
    <row r="26" spans="1:14" ht="12.75">
      <c r="A26" s="201">
        <f t="shared" si="1"/>
        <v>18</v>
      </c>
      <c r="B26" s="201" t="s">
        <v>611</v>
      </c>
      <c r="C26" s="340">
        <v>1427</v>
      </c>
      <c r="D26" s="340">
        <v>125</v>
      </c>
      <c r="E26" s="340">
        <v>644</v>
      </c>
      <c r="F26" s="340">
        <v>400</v>
      </c>
      <c r="G26" s="340">
        <v>30</v>
      </c>
      <c r="H26" s="340">
        <f t="shared" si="0"/>
        <v>228</v>
      </c>
      <c r="I26" s="368">
        <v>1427</v>
      </c>
      <c r="J26" s="368">
        <v>1427</v>
      </c>
      <c r="K26" s="340">
        <v>1427</v>
      </c>
      <c r="L26" s="340">
        <v>622</v>
      </c>
      <c r="M26" s="340">
        <v>337</v>
      </c>
      <c r="N26" s="340">
        <v>1427</v>
      </c>
    </row>
    <row r="27" spans="1:14" ht="12.75">
      <c r="A27" s="201">
        <f t="shared" si="1"/>
        <v>19</v>
      </c>
      <c r="B27" s="201" t="s">
        <v>637</v>
      </c>
      <c r="C27" s="340">
        <v>784</v>
      </c>
      <c r="D27" s="340">
        <v>193</v>
      </c>
      <c r="E27" s="340">
        <v>118</v>
      </c>
      <c r="F27" s="340">
        <v>173</v>
      </c>
      <c r="G27" s="340">
        <v>0</v>
      </c>
      <c r="H27" s="340">
        <f t="shared" si="0"/>
        <v>300</v>
      </c>
      <c r="I27" s="368">
        <v>784</v>
      </c>
      <c r="J27" s="368">
        <v>784</v>
      </c>
      <c r="K27" s="340">
        <v>784</v>
      </c>
      <c r="L27" s="340">
        <v>152</v>
      </c>
      <c r="M27" s="340">
        <v>86</v>
      </c>
      <c r="N27" s="340">
        <v>784</v>
      </c>
    </row>
    <row r="28" spans="1:14" ht="12.75">
      <c r="A28" s="201">
        <f t="shared" si="1"/>
        <v>20</v>
      </c>
      <c r="B28" s="201" t="s">
        <v>612</v>
      </c>
      <c r="C28" s="340">
        <v>1200</v>
      </c>
      <c r="D28" s="340">
        <v>248</v>
      </c>
      <c r="E28" s="340">
        <v>779</v>
      </c>
      <c r="F28" s="340">
        <v>101</v>
      </c>
      <c r="G28" s="340">
        <v>13</v>
      </c>
      <c r="H28" s="340">
        <f t="shared" si="0"/>
        <v>59</v>
      </c>
      <c r="I28" s="368">
        <v>1200</v>
      </c>
      <c r="J28" s="368">
        <v>1200</v>
      </c>
      <c r="K28" s="340">
        <v>1200</v>
      </c>
      <c r="L28" s="340">
        <v>1084</v>
      </c>
      <c r="M28" s="340">
        <v>1087</v>
      </c>
      <c r="N28" s="340">
        <v>1200</v>
      </c>
    </row>
    <row r="29" spans="1:14" ht="12.75">
      <c r="A29" s="201">
        <f t="shared" si="1"/>
        <v>21</v>
      </c>
      <c r="B29" s="201" t="s">
        <v>613</v>
      </c>
      <c r="C29" s="340">
        <v>554</v>
      </c>
      <c r="D29" s="340">
        <v>60</v>
      </c>
      <c r="E29" s="340">
        <v>119</v>
      </c>
      <c r="F29" s="340">
        <v>354</v>
      </c>
      <c r="G29" s="340">
        <v>5</v>
      </c>
      <c r="H29" s="340">
        <f t="shared" si="0"/>
        <v>16</v>
      </c>
      <c r="I29" s="368">
        <v>554</v>
      </c>
      <c r="J29" s="368">
        <v>554</v>
      </c>
      <c r="K29" s="340">
        <v>554</v>
      </c>
      <c r="L29" s="340">
        <v>145</v>
      </c>
      <c r="M29" s="340">
        <v>106</v>
      </c>
      <c r="N29" s="340">
        <v>554</v>
      </c>
    </row>
    <row r="30" spans="1:14" ht="12.75">
      <c r="A30" s="201">
        <f t="shared" si="1"/>
        <v>22</v>
      </c>
      <c r="B30" s="201" t="s">
        <v>614</v>
      </c>
      <c r="C30" s="340">
        <v>500</v>
      </c>
      <c r="D30" s="340">
        <v>83</v>
      </c>
      <c r="E30" s="340">
        <v>291</v>
      </c>
      <c r="F30" s="340">
        <v>58</v>
      </c>
      <c r="G30" s="340">
        <v>12</v>
      </c>
      <c r="H30" s="340">
        <f t="shared" si="0"/>
        <v>56</v>
      </c>
      <c r="I30" s="368">
        <v>500</v>
      </c>
      <c r="J30" s="368">
        <v>500</v>
      </c>
      <c r="K30" s="340">
        <v>500</v>
      </c>
      <c r="L30" s="340">
        <v>113</v>
      </c>
      <c r="M30" s="340">
        <v>139</v>
      </c>
      <c r="N30" s="340">
        <v>500</v>
      </c>
    </row>
    <row r="31" spans="1:14" ht="12.75">
      <c r="A31" s="201">
        <f t="shared" si="1"/>
        <v>23</v>
      </c>
      <c r="B31" s="201" t="s">
        <v>615</v>
      </c>
      <c r="C31" s="340">
        <v>1333</v>
      </c>
      <c r="D31" s="340">
        <v>202</v>
      </c>
      <c r="E31" s="340">
        <v>649</v>
      </c>
      <c r="F31" s="340">
        <v>81</v>
      </c>
      <c r="G31" s="340">
        <v>85</v>
      </c>
      <c r="H31" s="340">
        <f t="shared" si="0"/>
        <v>316</v>
      </c>
      <c r="I31" s="368">
        <v>1333</v>
      </c>
      <c r="J31" s="368">
        <v>1333</v>
      </c>
      <c r="K31" s="340">
        <v>1333</v>
      </c>
      <c r="L31" s="340">
        <v>540</v>
      </c>
      <c r="M31" s="340">
        <v>407</v>
      </c>
      <c r="N31" s="340">
        <v>1333</v>
      </c>
    </row>
    <row r="32" spans="1:14" ht="12.75">
      <c r="A32" s="201">
        <f t="shared" si="1"/>
        <v>24</v>
      </c>
      <c r="B32" s="201" t="s">
        <v>616</v>
      </c>
      <c r="C32" s="340">
        <v>1288</v>
      </c>
      <c r="D32" s="143">
        <v>0</v>
      </c>
      <c r="E32" s="143">
        <v>452</v>
      </c>
      <c r="F32" s="143">
        <v>0</v>
      </c>
      <c r="G32" s="143">
        <v>0</v>
      </c>
      <c r="H32" s="340">
        <f t="shared" si="0"/>
        <v>836</v>
      </c>
      <c r="I32" s="368">
        <v>1288</v>
      </c>
      <c r="J32" s="368">
        <v>1288</v>
      </c>
      <c r="K32" s="340">
        <v>1288</v>
      </c>
      <c r="L32" s="143">
        <v>1040</v>
      </c>
      <c r="M32" s="143">
        <v>1288</v>
      </c>
      <c r="N32" s="340">
        <v>1288</v>
      </c>
    </row>
    <row r="33" spans="1:14" ht="12.75">
      <c r="A33" s="201">
        <f t="shared" si="1"/>
        <v>25</v>
      </c>
      <c r="B33" s="201" t="s">
        <v>617</v>
      </c>
      <c r="C33" s="340">
        <v>994</v>
      </c>
      <c r="D33" s="143">
        <v>0</v>
      </c>
      <c r="E33" s="143">
        <v>402</v>
      </c>
      <c r="F33" s="143">
        <v>0</v>
      </c>
      <c r="G33" s="143">
        <v>0</v>
      </c>
      <c r="H33" s="340">
        <f t="shared" si="0"/>
        <v>592</v>
      </c>
      <c r="I33" s="368">
        <v>994</v>
      </c>
      <c r="J33" s="368">
        <v>994</v>
      </c>
      <c r="K33" s="340">
        <v>994</v>
      </c>
      <c r="L33" s="143">
        <v>994</v>
      </c>
      <c r="M33" s="143">
        <v>994</v>
      </c>
      <c r="N33" s="340">
        <v>994</v>
      </c>
    </row>
    <row r="34" spans="1:14" ht="12.75">
      <c r="A34" s="201">
        <f t="shared" si="1"/>
        <v>26</v>
      </c>
      <c r="B34" s="201" t="s">
        <v>618</v>
      </c>
      <c r="C34" s="340">
        <v>971</v>
      </c>
      <c r="D34" s="143">
        <v>166</v>
      </c>
      <c r="E34" s="143">
        <v>404</v>
      </c>
      <c r="F34" s="143">
        <v>358</v>
      </c>
      <c r="G34" s="143">
        <v>16</v>
      </c>
      <c r="H34" s="340">
        <f t="shared" si="0"/>
        <v>27</v>
      </c>
      <c r="I34" s="368">
        <v>971</v>
      </c>
      <c r="J34" s="368">
        <v>971</v>
      </c>
      <c r="K34" s="340">
        <v>971</v>
      </c>
      <c r="L34" s="143">
        <v>324</v>
      </c>
      <c r="M34" s="143">
        <v>213</v>
      </c>
      <c r="N34" s="340">
        <v>971</v>
      </c>
    </row>
    <row r="35" spans="1:14" ht="12.75">
      <c r="A35" s="201">
        <f t="shared" si="1"/>
        <v>27</v>
      </c>
      <c r="B35" s="201" t="s">
        <v>619</v>
      </c>
      <c r="C35" s="340">
        <v>1034</v>
      </c>
      <c r="D35" s="143">
        <v>186</v>
      </c>
      <c r="E35" s="143">
        <v>306</v>
      </c>
      <c r="F35" s="143">
        <v>250</v>
      </c>
      <c r="G35" s="143">
        <v>0</v>
      </c>
      <c r="H35" s="340">
        <f t="shared" si="0"/>
        <v>292</v>
      </c>
      <c r="I35" s="368">
        <v>1034</v>
      </c>
      <c r="J35" s="368">
        <v>1034</v>
      </c>
      <c r="K35" s="340">
        <v>1034</v>
      </c>
      <c r="L35" s="143">
        <v>465</v>
      </c>
      <c r="M35" s="143">
        <v>568</v>
      </c>
      <c r="N35" s="340">
        <v>1034</v>
      </c>
    </row>
    <row r="36" spans="1:15" ht="12.75">
      <c r="A36" s="201">
        <f t="shared" si="1"/>
        <v>28</v>
      </c>
      <c r="B36" s="143" t="s">
        <v>620</v>
      </c>
      <c r="C36" s="340">
        <v>514</v>
      </c>
      <c r="D36" s="143">
        <v>0</v>
      </c>
      <c r="E36" s="143">
        <v>332</v>
      </c>
      <c r="F36" s="143">
        <v>182</v>
      </c>
      <c r="G36" s="143">
        <v>0</v>
      </c>
      <c r="H36" s="340">
        <f t="shared" si="0"/>
        <v>0</v>
      </c>
      <c r="I36" s="368">
        <v>514</v>
      </c>
      <c r="J36" s="368">
        <v>514</v>
      </c>
      <c r="K36" s="340">
        <v>514</v>
      </c>
      <c r="L36" s="143">
        <v>412</v>
      </c>
      <c r="M36" s="143">
        <v>44</v>
      </c>
      <c r="N36" s="340">
        <v>514</v>
      </c>
      <c r="O36" s="6" t="s">
        <v>391</v>
      </c>
    </row>
    <row r="37" spans="1:14" ht="12.75">
      <c r="A37" s="201">
        <f t="shared" si="1"/>
        <v>29</v>
      </c>
      <c r="B37" s="143" t="s">
        <v>621</v>
      </c>
      <c r="C37" s="340">
        <v>654</v>
      </c>
      <c r="D37" s="143">
        <v>305</v>
      </c>
      <c r="E37" s="143">
        <v>178</v>
      </c>
      <c r="F37" s="143">
        <v>128</v>
      </c>
      <c r="G37" s="143">
        <v>0</v>
      </c>
      <c r="H37" s="340">
        <f t="shared" si="0"/>
        <v>43</v>
      </c>
      <c r="I37" s="368">
        <v>654</v>
      </c>
      <c r="J37" s="368">
        <v>654</v>
      </c>
      <c r="K37" s="340">
        <v>654</v>
      </c>
      <c r="L37" s="143">
        <v>417</v>
      </c>
      <c r="M37" s="143">
        <v>139</v>
      </c>
      <c r="N37" s="340">
        <v>654</v>
      </c>
    </row>
    <row r="38" spans="1:14" ht="12.75">
      <c r="A38" s="201">
        <f t="shared" si="1"/>
        <v>30</v>
      </c>
      <c r="B38" s="143" t="s">
        <v>622</v>
      </c>
      <c r="C38" s="340">
        <v>525</v>
      </c>
      <c r="D38" s="143">
        <v>77</v>
      </c>
      <c r="E38" s="143">
        <v>186</v>
      </c>
      <c r="F38" s="143">
        <v>87</v>
      </c>
      <c r="G38" s="143">
        <v>25</v>
      </c>
      <c r="H38" s="340">
        <f t="shared" si="0"/>
        <v>150</v>
      </c>
      <c r="I38" s="368">
        <v>525</v>
      </c>
      <c r="J38" s="368">
        <v>525</v>
      </c>
      <c r="K38" s="340">
        <v>525</v>
      </c>
      <c r="L38" s="143">
        <v>525</v>
      </c>
      <c r="M38" s="143">
        <v>525</v>
      </c>
      <c r="N38" s="340">
        <v>525</v>
      </c>
    </row>
    <row r="39" spans="1:14" ht="12.75">
      <c r="A39" s="201">
        <f t="shared" si="1"/>
        <v>31</v>
      </c>
      <c r="B39" s="143" t="s">
        <v>623</v>
      </c>
      <c r="C39" s="340">
        <v>678</v>
      </c>
      <c r="D39" s="143">
        <v>108</v>
      </c>
      <c r="E39" s="143">
        <v>399</v>
      </c>
      <c r="F39" s="143">
        <v>65</v>
      </c>
      <c r="G39" s="143">
        <v>11</v>
      </c>
      <c r="H39" s="340">
        <f t="shared" si="0"/>
        <v>95</v>
      </c>
      <c r="I39" s="368">
        <v>678</v>
      </c>
      <c r="J39" s="368">
        <v>678</v>
      </c>
      <c r="K39" s="340">
        <v>678</v>
      </c>
      <c r="L39" s="143">
        <v>379</v>
      </c>
      <c r="M39" s="143">
        <v>264</v>
      </c>
      <c r="N39" s="340">
        <v>678</v>
      </c>
    </row>
    <row r="40" spans="1:14" s="5" customFormat="1" ht="12.75">
      <c r="A40" s="150"/>
      <c r="B40" s="150" t="s">
        <v>624</v>
      </c>
      <c r="C40" s="144">
        <f>SUM(C9:C39)</f>
        <v>27732</v>
      </c>
      <c r="D40" s="144">
        <f aca="true" t="shared" si="2" ref="D40:N40">SUM(D9:D39)</f>
        <v>3616</v>
      </c>
      <c r="E40" s="144">
        <f t="shared" si="2"/>
        <v>10977</v>
      </c>
      <c r="F40" s="144">
        <f t="shared" si="2"/>
        <v>6905</v>
      </c>
      <c r="G40" s="144">
        <f t="shared" si="2"/>
        <v>684</v>
      </c>
      <c r="H40" s="144">
        <f t="shared" si="2"/>
        <v>5550</v>
      </c>
      <c r="I40" s="144">
        <f t="shared" si="2"/>
        <v>27732</v>
      </c>
      <c r="J40" s="144">
        <f t="shared" si="2"/>
        <v>27732</v>
      </c>
      <c r="K40" s="144">
        <f t="shared" si="2"/>
        <v>27732</v>
      </c>
      <c r="L40" s="144">
        <f t="shared" si="2"/>
        <v>16727</v>
      </c>
      <c r="M40" s="144">
        <f t="shared" si="2"/>
        <v>11980</v>
      </c>
      <c r="N40" s="144">
        <f t="shared" si="2"/>
        <v>27732</v>
      </c>
    </row>
    <row r="44" spans="11:14" ht="15.75">
      <c r="K44" s="621" t="s">
        <v>860</v>
      </c>
      <c r="L44" s="621"/>
      <c r="M44" s="621"/>
      <c r="N44" s="621"/>
    </row>
    <row r="45" spans="11:14" ht="15.75">
      <c r="K45" s="621" t="s">
        <v>653</v>
      </c>
      <c r="L45" s="621"/>
      <c r="M45" s="621"/>
      <c r="N45" s="621"/>
    </row>
  </sheetData>
  <sheetProtection/>
  <mergeCells count="13">
    <mergeCell ref="L5:N5"/>
    <mergeCell ref="A2:N2"/>
    <mergeCell ref="A4:N4"/>
    <mergeCell ref="K44:N44"/>
    <mergeCell ref="K45:N45"/>
    <mergeCell ref="D6:H6"/>
    <mergeCell ref="C6:C7"/>
    <mergeCell ref="A1:K1"/>
    <mergeCell ref="A6:A7"/>
    <mergeCell ref="B6:B7"/>
    <mergeCell ref="K6:N6"/>
    <mergeCell ref="I6:I7"/>
    <mergeCell ref="J6:J7"/>
  </mergeCells>
  <printOptions horizontalCentered="1"/>
  <pageMargins left="0.47" right="0.44" top="0.48" bottom="0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35"/>
  <sheetViews>
    <sheetView view="pageBreakPreview" zoomScale="85" zoomScaleNormal="70" zoomScaleSheetLayoutView="85" zoomScalePageLayoutView="0" workbookViewId="0" topLeftCell="A8">
      <selection activeCell="I30" sqref="I30"/>
    </sheetView>
  </sheetViews>
  <sheetFormatPr defaultColWidth="9.140625" defaultRowHeight="12.75"/>
  <cols>
    <col min="1" max="1" width="4.8515625" style="6" customWidth="1"/>
    <col min="2" max="2" width="19.57421875" style="6" customWidth="1"/>
    <col min="3" max="3" width="9.28125" style="6" bestFit="1" customWidth="1"/>
    <col min="4" max="5" width="8.140625" style="6" bestFit="1" customWidth="1"/>
    <col min="6" max="7" width="9.28125" style="6" bestFit="1" customWidth="1"/>
    <col min="8" max="9" width="8.140625" style="6" bestFit="1" customWidth="1"/>
    <col min="10" max="10" width="9.28125" style="6" bestFit="1" customWidth="1"/>
    <col min="11" max="11" width="8.57421875" style="6" bestFit="1" customWidth="1"/>
    <col min="12" max="12" width="8.140625" style="6" bestFit="1" customWidth="1"/>
    <col min="13" max="13" width="7.57421875" style="6" bestFit="1" customWidth="1"/>
    <col min="14" max="14" width="8.8515625" style="6" customWidth="1"/>
    <col min="15" max="15" width="9.28125" style="6" bestFit="1" customWidth="1"/>
    <col min="16" max="17" width="8.140625" style="6" bestFit="1" customWidth="1"/>
    <col min="18" max="18" width="9.28125" style="6" bestFit="1" customWidth="1"/>
    <col min="19" max="19" width="10.57421875" style="6" customWidth="1"/>
    <col min="20" max="20" width="9.8515625" style="6" customWidth="1"/>
    <col min="21" max="21" width="8.7109375" style="6" customWidth="1"/>
    <col min="22" max="22" width="9.7109375" style="6" customWidth="1"/>
    <col min="23" max="27" width="9.140625" style="6" customWidth="1"/>
    <col min="28" max="28" width="11.00390625" style="6" customWidth="1"/>
    <col min="29" max="30" width="8.8515625" style="6" hidden="1" customWidth="1"/>
    <col min="31" max="16384" width="9.140625" style="6" customWidth="1"/>
  </cols>
  <sheetData>
    <row r="2" spans="7:22" ht="12.75">
      <c r="G2" s="560"/>
      <c r="H2" s="560"/>
      <c r="I2" s="560"/>
      <c r="J2" s="560"/>
      <c r="K2" s="560"/>
      <c r="L2" s="560"/>
      <c r="M2" s="560"/>
      <c r="N2" s="560"/>
      <c r="O2" s="560"/>
      <c r="P2" s="158"/>
      <c r="Q2" s="158"/>
      <c r="R2" s="158"/>
      <c r="V2" s="154" t="s">
        <v>55</v>
      </c>
    </row>
    <row r="3" spans="1:22" ht="15">
      <c r="A3" s="593" t="s">
        <v>53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</row>
    <row r="4" spans="1:256" ht="15.75">
      <c r="A4" s="562" t="s">
        <v>695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6" spans="1:22" ht="15">
      <c r="A6" s="594" t="s">
        <v>699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</row>
    <row r="7" spans="1:21" ht="15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" s="5" customFormat="1" ht="12.75">
      <c r="A8" s="21" t="s">
        <v>665</v>
      </c>
      <c r="B8" s="21"/>
    </row>
    <row r="10" spans="21:30" ht="14.25">
      <c r="U10" s="607" t="s">
        <v>456</v>
      </c>
      <c r="V10" s="607"/>
      <c r="AB10" s="565"/>
      <c r="AC10" s="565"/>
      <c r="AD10" s="565"/>
    </row>
    <row r="11" spans="1:256" ht="12.75" customHeight="1">
      <c r="A11" s="595" t="s">
        <v>2</v>
      </c>
      <c r="B11" s="595" t="s">
        <v>104</v>
      </c>
      <c r="C11" s="597" t="s">
        <v>151</v>
      </c>
      <c r="D11" s="598"/>
      <c r="E11" s="598"/>
      <c r="F11" s="599"/>
      <c r="G11" s="604" t="s">
        <v>748</v>
      </c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6"/>
      <c r="S11" s="530" t="s">
        <v>244</v>
      </c>
      <c r="T11" s="530"/>
      <c r="U11" s="530"/>
      <c r="V11" s="530"/>
      <c r="W11" s="146"/>
      <c r="X11" s="146"/>
      <c r="Y11" s="146"/>
      <c r="Z11" s="146"/>
      <c r="AA11" s="146"/>
      <c r="AB11" s="146"/>
      <c r="AC11" s="146"/>
      <c r="AD11" s="14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96"/>
      <c r="B12" s="596"/>
      <c r="C12" s="600"/>
      <c r="D12" s="601"/>
      <c r="E12" s="601"/>
      <c r="F12" s="602"/>
      <c r="G12" s="541" t="s">
        <v>171</v>
      </c>
      <c r="H12" s="603"/>
      <c r="I12" s="603"/>
      <c r="J12" s="542"/>
      <c r="K12" s="541" t="s">
        <v>172</v>
      </c>
      <c r="L12" s="603"/>
      <c r="M12" s="603"/>
      <c r="N12" s="542"/>
      <c r="O12" s="555" t="s">
        <v>16</v>
      </c>
      <c r="P12" s="555"/>
      <c r="Q12" s="555"/>
      <c r="R12" s="555"/>
      <c r="S12" s="530"/>
      <c r="T12" s="530"/>
      <c r="U12" s="530"/>
      <c r="V12" s="530"/>
      <c r="W12" s="146"/>
      <c r="X12" s="146"/>
      <c r="Y12" s="146"/>
      <c r="Z12" s="146"/>
      <c r="AA12" s="146"/>
      <c r="AB12" s="146"/>
      <c r="AC12" s="146"/>
      <c r="AD12" s="14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8.25">
      <c r="A13" s="161"/>
      <c r="B13" s="161"/>
      <c r="C13" s="150" t="s">
        <v>245</v>
      </c>
      <c r="D13" s="150" t="s">
        <v>246</v>
      </c>
      <c r="E13" s="150" t="s">
        <v>247</v>
      </c>
      <c r="F13" s="150" t="s">
        <v>85</v>
      </c>
      <c r="G13" s="150" t="s">
        <v>245</v>
      </c>
      <c r="H13" s="150" t="s">
        <v>246</v>
      </c>
      <c r="I13" s="150" t="s">
        <v>247</v>
      </c>
      <c r="J13" s="150" t="s">
        <v>16</v>
      </c>
      <c r="K13" s="150" t="s">
        <v>245</v>
      </c>
      <c r="L13" s="150" t="s">
        <v>246</v>
      </c>
      <c r="M13" s="150" t="s">
        <v>247</v>
      </c>
      <c r="N13" s="150" t="s">
        <v>85</v>
      </c>
      <c r="O13" s="150" t="s">
        <v>245</v>
      </c>
      <c r="P13" s="150" t="s">
        <v>246</v>
      </c>
      <c r="Q13" s="150" t="s">
        <v>247</v>
      </c>
      <c r="R13" s="150" t="s">
        <v>16</v>
      </c>
      <c r="S13" s="1" t="s">
        <v>452</v>
      </c>
      <c r="T13" s="1" t="s">
        <v>453</v>
      </c>
      <c r="U13" s="1" t="s">
        <v>454</v>
      </c>
      <c r="V13" s="122" t="s">
        <v>455</v>
      </c>
      <c r="W13" s="146"/>
      <c r="X13" s="146"/>
      <c r="Y13" s="146"/>
      <c r="Z13" s="146"/>
      <c r="AA13" s="146"/>
      <c r="AB13" s="146"/>
      <c r="AC13" s="146"/>
      <c r="AD13" s="14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69">
        <v>1</v>
      </c>
      <c r="B14" s="79">
        <v>2</v>
      </c>
      <c r="C14" s="69">
        <v>3</v>
      </c>
      <c r="D14" s="69">
        <v>4</v>
      </c>
      <c r="E14" s="79">
        <v>5</v>
      </c>
      <c r="F14" s="69">
        <v>6</v>
      </c>
      <c r="G14" s="69">
        <v>7</v>
      </c>
      <c r="H14" s="79">
        <v>8</v>
      </c>
      <c r="I14" s="69">
        <v>9</v>
      </c>
      <c r="J14" s="69">
        <v>10</v>
      </c>
      <c r="K14" s="79">
        <v>11</v>
      </c>
      <c r="L14" s="69">
        <v>12</v>
      </c>
      <c r="M14" s="69">
        <v>13</v>
      </c>
      <c r="N14" s="79">
        <v>14</v>
      </c>
      <c r="O14" s="69">
        <v>15</v>
      </c>
      <c r="P14" s="69">
        <v>16</v>
      </c>
      <c r="Q14" s="79">
        <v>17</v>
      </c>
      <c r="R14" s="69">
        <v>18</v>
      </c>
      <c r="S14" s="69">
        <v>19</v>
      </c>
      <c r="T14" s="79">
        <v>20</v>
      </c>
      <c r="U14" s="69">
        <v>21</v>
      </c>
      <c r="V14" s="69">
        <v>22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32" ht="25.5">
      <c r="A15" s="143"/>
      <c r="B15" s="81" t="s">
        <v>231</v>
      </c>
      <c r="C15" s="143"/>
      <c r="D15" s="143"/>
      <c r="E15" s="143"/>
      <c r="F15" s="120"/>
      <c r="G15" s="143"/>
      <c r="H15" s="143"/>
      <c r="I15" s="143"/>
      <c r="J15" s="120"/>
      <c r="K15" s="143"/>
      <c r="L15" s="143"/>
      <c r="M15" s="143"/>
      <c r="N15" s="143"/>
      <c r="O15" s="143"/>
      <c r="P15" s="143"/>
      <c r="Q15" s="143"/>
      <c r="R15" s="143"/>
      <c r="S15" s="143"/>
      <c r="T15" s="8"/>
      <c r="U15" s="8"/>
      <c r="V15" s="8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32" ht="12.75">
      <c r="A16" s="144">
        <v>1</v>
      </c>
      <c r="B16" s="81" t="s">
        <v>178</v>
      </c>
      <c r="C16" s="264">
        <f>1419.8*71.46%</f>
        <v>1014.5890799999999</v>
      </c>
      <c r="D16" s="264">
        <f>1419.8*18.75%</f>
        <v>266.2125</v>
      </c>
      <c r="E16" s="264">
        <f>1419.8*9.79%</f>
        <v>138.99841999999998</v>
      </c>
      <c r="F16" s="264">
        <f>SUM(C16:E16)</f>
        <v>1419.7999999999997</v>
      </c>
      <c r="G16" s="264">
        <v>886.1468759999998</v>
      </c>
      <c r="H16" s="264">
        <v>232.51125</v>
      </c>
      <c r="I16" s="264">
        <v>121.40187399999998</v>
      </c>
      <c r="J16" s="264">
        <f>SUM(G16:I16)</f>
        <v>1240.0599999999997</v>
      </c>
      <c r="K16" s="264">
        <v>0</v>
      </c>
      <c r="L16" s="264">
        <v>0</v>
      </c>
      <c r="M16" s="264">
        <v>0</v>
      </c>
      <c r="N16" s="264">
        <f>SUM(K16:M16)</f>
        <v>0</v>
      </c>
      <c r="O16" s="264">
        <f aca="true" t="shared" si="0" ref="O16:Q20">G16+K16</f>
        <v>886.1468759999998</v>
      </c>
      <c r="P16" s="264">
        <f t="shared" si="0"/>
        <v>232.51125</v>
      </c>
      <c r="Q16" s="264">
        <f t="shared" si="0"/>
        <v>121.40187399999998</v>
      </c>
      <c r="R16" s="264">
        <f>SUM(O16:Q16)</f>
        <v>1240.0599999999997</v>
      </c>
      <c r="S16" s="264">
        <f>C16-O16</f>
        <v>128.44220400000006</v>
      </c>
      <c r="T16" s="264">
        <f>D16-P16</f>
        <v>33.70124999999999</v>
      </c>
      <c r="U16" s="264">
        <f>E16-Q16</f>
        <v>17.596546000000004</v>
      </c>
      <c r="V16" s="264">
        <f>SUM(S16:U16)</f>
        <v>179.74000000000007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28" ht="12.75">
      <c r="A17" s="144">
        <v>2</v>
      </c>
      <c r="B17" s="82" t="s">
        <v>123</v>
      </c>
      <c r="C17" s="264">
        <f>19523.01*71.46%</f>
        <v>13951.142945999996</v>
      </c>
      <c r="D17" s="264">
        <f>19523.01*18.75%</f>
        <v>3660.564375</v>
      </c>
      <c r="E17" s="264">
        <f>19523.01*9.79%</f>
        <v>1911.3026789999997</v>
      </c>
      <c r="F17" s="264">
        <f>SUM(C17:E17)</f>
        <v>19523.009999999995</v>
      </c>
      <c r="G17" s="264">
        <f>12344.59*71.46%</f>
        <v>8821.444013999999</v>
      </c>
      <c r="H17" s="264">
        <f>12344.59*18.75%</f>
        <v>2314.6106250000003</v>
      </c>
      <c r="I17" s="264">
        <f>12344.59*9.79%</f>
        <v>1208.535361</v>
      </c>
      <c r="J17" s="264">
        <f>SUM(G17:I17)</f>
        <v>12344.589999999998</v>
      </c>
      <c r="K17" s="264">
        <f>(8229.72*71.46%)+7525.2</f>
        <v>13406.157911999999</v>
      </c>
      <c r="L17" s="264">
        <f>8229.72*18.75%</f>
        <v>1543.0724999999998</v>
      </c>
      <c r="M17" s="264">
        <f>8229.72*9.79%</f>
        <v>805.6895879999998</v>
      </c>
      <c r="N17" s="264">
        <f>SUM(K17:M17)</f>
        <v>15754.919999999998</v>
      </c>
      <c r="O17" s="264">
        <f t="shared" si="0"/>
        <v>22227.601925999996</v>
      </c>
      <c r="P17" s="264">
        <f t="shared" si="0"/>
        <v>3857.683125</v>
      </c>
      <c r="Q17" s="264">
        <f t="shared" si="0"/>
        <v>2014.224949</v>
      </c>
      <c r="R17" s="264">
        <f>SUM(O17:Q17)</f>
        <v>28099.509999999995</v>
      </c>
      <c r="S17" s="264">
        <v>0</v>
      </c>
      <c r="T17" s="264">
        <v>0</v>
      </c>
      <c r="U17" s="264">
        <v>0</v>
      </c>
      <c r="V17" s="264">
        <f>SUM(S17:U17)</f>
        <v>0</v>
      </c>
      <c r="Y17" s="559"/>
      <c r="Z17" s="559"/>
      <c r="AA17" s="559"/>
      <c r="AB17" s="559"/>
    </row>
    <row r="18" spans="1:22" ht="25.5">
      <c r="A18" s="144">
        <v>3</v>
      </c>
      <c r="B18" s="81" t="s">
        <v>124</v>
      </c>
      <c r="C18" s="264">
        <f>354.95*71.46%</f>
        <v>253.64726999999996</v>
      </c>
      <c r="D18" s="264">
        <f>354.95*18.75%</f>
        <v>66.553125</v>
      </c>
      <c r="E18" s="264">
        <f>354.95*9.79%</f>
        <v>34.749604999999995</v>
      </c>
      <c r="F18" s="264">
        <f>SUM(C18:E18)</f>
        <v>354.94999999999993</v>
      </c>
      <c r="G18" s="264">
        <f>310.01*71.46%</f>
        <v>221.53314599999996</v>
      </c>
      <c r="H18" s="264">
        <f>310.01*18.75%</f>
        <v>58.126875</v>
      </c>
      <c r="I18" s="264">
        <f>310.01*9.79%</f>
        <v>30.349978999999994</v>
      </c>
      <c r="J18" s="264">
        <f>SUM(G18:I18)</f>
        <v>310.01</v>
      </c>
      <c r="K18" s="264">
        <v>0</v>
      </c>
      <c r="L18" s="264">
        <v>0</v>
      </c>
      <c r="M18" s="264">
        <v>0</v>
      </c>
      <c r="N18" s="264">
        <f>SUM(K18:M18)</f>
        <v>0</v>
      </c>
      <c r="O18" s="264">
        <f t="shared" si="0"/>
        <v>221.53314599999996</v>
      </c>
      <c r="P18" s="264">
        <f t="shared" si="0"/>
        <v>58.126875</v>
      </c>
      <c r="Q18" s="264">
        <f t="shared" si="0"/>
        <v>30.349978999999994</v>
      </c>
      <c r="R18" s="264">
        <f>SUM(O18:Q18)</f>
        <v>310.01</v>
      </c>
      <c r="S18" s="264">
        <f>C18-O18</f>
        <v>32.114124000000004</v>
      </c>
      <c r="T18" s="264">
        <f>D18-P18</f>
        <v>8.426249999999996</v>
      </c>
      <c r="U18" s="264">
        <f>E18-Q18</f>
        <v>4.399626000000001</v>
      </c>
      <c r="V18" s="264">
        <f>SUM(S18:U18)</f>
        <v>44.94</v>
      </c>
    </row>
    <row r="19" spans="1:22" ht="12.75">
      <c r="A19" s="144">
        <v>4</v>
      </c>
      <c r="B19" s="82" t="s">
        <v>125</v>
      </c>
      <c r="C19" s="264">
        <f>301.51*71.46%</f>
        <v>215.45904599999997</v>
      </c>
      <c r="D19" s="264">
        <f>301.51*18.75%</f>
        <v>56.533125</v>
      </c>
      <c r="E19" s="264">
        <f>301.51*9.79%</f>
        <v>29.517828999999995</v>
      </c>
      <c r="F19" s="264">
        <f>SUM(C19:E19)</f>
        <v>301.51</v>
      </c>
      <c r="G19" s="264">
        <f>308.67*71.46%</f>
        <v>220.57558199999997</v>
      </c>
      <c r="H19" s="264">
        <f>308.67*18.75%</f>
        <v>57.875625</v>
      </c>
      <c r="I19" s="264">
        <f>308.67*9.79%</f>
        <v>30.218792999999998</v>
      </c>
      <c r="J19" s="264">
        <f>SUM(G19:I19)</f>
        <v>308.66999999999996</v>
      </c>
      <c r="K19" s="264">
        <v>0</v>
      </c>
      <c r="L19" s="264">
        <v>0</v>
      </c>
      <c r="M19" s="264">
        <v>0</v>
      </c>
      <c r="N19" s="264">
        <f>SUM(K19:M19)</f>
        <v>0</v>
      </c>
      <c r="O19" s="264">
        <f t="shared" si="0"/>
        <v>220.57558199999997</v>
      </c>
      <c r="P19" s="264">
        <f t="shared" si="0"/>
        <v>57.875625</v>
      </c>
      <c r="Q19" s="264">
        <f t="shared" si="0"/>
        <v>30.218792999999998</v>
      </c>
      <c r="R19" s="264">
        <f>SUM(O19:Q19)</f>
        <v>308.66999999999996</v>
      </c>
      <c r="S19" s="264">
        <v>0</v>
      </c>
      <c r="T19" s="264">
        <v>0</v>
      </c>
      <c r="U19" s="264">
        <v>0</v>
      </c>
      <c r="V19" s="264">
        <f>SUM(S19:U19)</f>
        <v>0</v>
      </c>
    </row>
    <row r="20" spans="1:22" ht="25.5">
      <c r="A20" s="144">
        <v>5</v>
      </c>
      <c r="B20" s="81" t="s">
        <v>126</v>
      </c>
      <c r="C20" s="264">
        <f>5423.2*71.46%</f>
        <v>3875.418719999999</v>
      </c>
      <c r="D20" s="264">
        <f>5423.2*18.75%</f>
        <v>1016.8499999999999</v>
      </c>
      <c r="E20" s="264">
        <f>5423.2*9.79%</f>
        <v>530.9312799999999</v>
      </c>
      <c r="F20" s="264">
        <f>SUM(C20:E20)</f>
        <v>5423.199999999999</v>
      </c>
      <c r="G20" s="264">
        <f>C20*60%</f>
        <v>2325.2512319999996</v>
      </c>
      <c r="H20" s="264">
        <f>D20*60%</f>
        <v>610.1099999999999</v>
      </c>
      <c r="I20" s="264">
        <v>318.56</v>
      </c>
      <c r="J20" s="264">
        <f>SUM(G20:I20)</f>
        <v>3253.9212319999992</v>
      </c>
      <c r="K20" s="264">
        <f>C20*40%</f>
        <v>1550.1674879999998</v>
      </c>
      <c r="L20" s="264">
        <f>D20*40%</f>
        <v>406.74</v>
      </c>
      <c r="M20" s="264">
        <v>212.36</v>
      </c>
      <c r="N20" s="264">
        <f>SUM(K20:M20)</f>
        <v>2169.267488</v>
      </c>
      <c r="O20" s="264">
        <f t="shared" si="0"/>
        <v>3875.4187199999997</v>
      </c>
      <c r="P20" s="264">
        <f t="shared" si="0"/>
        <v>1016.8499999999999</v>
      </c>
      <c r="Q20" s="264">
        <f t="shared" si="0"/>
        <v>530.9200000000001</v>
      </c>
      <c r="R20" s="264">
        <f>SUM(O20:Q20)</f>
        <v>5423.18872</v>
      </c>
      <c r="S20" s="264">
        <f>C20-O20</f>
        <v>0</v>
      </c>
      <c r="T20" s="264">
        <f>D20-P20</f>
        <v>0</v>
      </c>
      <c r="U20" s="264">
        <f>E20-Q20</f>
        <v>0.01127999999982876</v>
      </c>
      <c r="V20" s="264">
        <f>SUM(S20:U20)</f>
        <v>0.01127999999982876</v>
      </c>
    </row>
    <row r="21" spans="1:22" ht="12.75">
      <c r="A21" s="119"/>
      <c r="B21" s="125" t="s">
        <v>85</v>
      </c>
      <c r="C21" s="264">
        <f>SUM(C16:C20)</f>
        <v>19310.257061999993</v>
      </c>
      <c r="D21" s="264">
        <f aca="true" t="shared" si="1" ref="D21:V21">SUM(D16:D20)</f>
        <v>5066.713125</v>
      </c>
      <c r="E21" s="264">
        <f t="shared" si="1"/>
        <v>2645.4998129999994</v>
      </c>
      <c r="F21" s="264">
        <f t="shared" si="1"/>
        <v>27022.469999999994</v>
      </c>
      <c r="G21" s="264">
        <f t="shared" si="1"/>
        <v>12474.950849999997</v>
      </c>
      <c r="H21" s="264">
        <f t="shared" si="1"/>
        <v>3273.234375</v>
      </c>
      <c r="I21" s="264">
        <f t="shared" si="1"/>
        <v>1709.066007</v>
      </c>
      <c r="J21" s="264">
        <f t="shared" si="1"/>
        <v>17457.251232</v>
      </c>
      <c r="K21" s="264">
        <f>SUM(K16:K20)</f>
        <v>14956.325399999998</v>
      </c>
      <c r="L21" s="264">
        <f>SUM(L16:L20)</f>
        <v>1949.8124999999998</v>
      </c>
      <c r="M21" s="264">
        <f>SUM(M16:M20)</f>
        <v>1018.0495879999999</v>
      </c>
      <c r="N21" s="264">
        <f t="shared" si="1"/>
        <v>17924.187488</v>
      </c>
      <c r="O21" s="264">
        <f t="shared" si="1"/>
        <v>27431.276249999995</v>
      </c>
      <c r="P21" s="264">
        <f t="shared" si="1"/>
        <v>5223.046875</v>
      </c>
      <c r="Q21" s="264">
        <f>SUM(Q16:Q20)</f>
        <v>2727.115595</v>
      </c>
      <c r="R21" s="264">
        <f t="shared" si="1"/>
        <v>35381.43871999999</v>
      </c>
      <c r="S21" s="264">
        <f t="shared" si="1"/>
        <v>160.55632800000006</v>
      </c>
      <c r="T21" s="264">
        <f t="shared" si="1"/>
        <v>42.12749999999998</v>
      </c>
      <c r="U21" s="264">
        <f t="shared" si="1"/>
        <v>22.007451999999834</v>
      </c>
      <c r="V21" s="264">
        <f t="shared" si="1"/>
        <v>224.6912799999999</v>
      </c>
    </row>
    <row r="22" spans="1:22" ht="25.5">
      <c r="A22" s="144"/>
      <c r="B22" s="83" t="s">
        <v>232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</row>
    <row r="23" spans="1:22" ht="12.75">
      <c r="A23" s="144">
        <v>6</v>
      </c>
      <c r="B23" s="81" t="s">
        <v>180</v>
      </c>
      <c r="C23" s="264">
        <v>0</v>
      </c>
      <c r="D23" s="264">
        <v>0</v>
      </c>
      <c r="E23" s="264">
        <v>0</v>
      </c>
      <c r="F23" s="264">
        <f>SUM(C23:E23)</f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4">
        <v>0</v>
      </c>
      <c r="P23" s="264">
        <v>0</v>
      </c>
      <c r="Q23" s="264">
        <v>0</v>
      </c>
      <c r="R23" s="264">
        <v>0</v>
      </c>
      <c r="S23" s="264">
        <f aca="true" t="shared" si="2" ref="S23:U25">C23-O23</f>
        <v>0</v>
      </c>
      <c r="T23" s="264">
        <f t="shared" si="2"/>
        <v>0</v>
      </c>
      <c r="U23" s="264">
        <f t="shared" si="2"/>
        <v>0</v>
      </c>
      <c r="V23" s="264">
        <f>SUM(S23:U23)</f>
        <v>0</v>
      </c>
    </row>
    <row r="24" spans="1:22" ht="12.75">
      <c r="A24" s="144">
        <v>7</v>
      </c>
      <c r="B24" s="82" t="s">
        <v>128</v>
      </c>
      <c r="C24" s="264">
        <v>0</v>
      </c>
      <c r="D24" s="264">
        <v>0</v>
      </c>
      <c r="E24" s="264">
        <v>0</v>
      </c>
      <c r="F24" s="264">
        <f>SUM(C24:E24)</f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f t="shared" si="2"/>
        <v>0</v>
      </c>
      <c r="T24" s="264">
        <f t="shared" si="2"/>
        <v>0</v>
      </c>
      <c r="U24" s="264">
        <f t="shared" si="2"/>
        <v>0</v>
      </c>
      <c r="V24" s="264">
        <f>SUM(S24:U24)</f>
        <v>0</v>
      </c>
    </row>
    <row r="25" spans="1:22" ht="12.75">
      <c r="A25" s="8"/>
      <c r="B25" s="82" t="s">
        <v>85</v>
      </c>
      <c r="C25" s="264">
        <f>SUM(C23:C24)</f>
        <v>0</v>
      </c>
      <c r="D25" s="264">
        <f>SUM(D23:D24)</f>
        <v>0</v>
      </c>
      <c r="E25" s="264">
        <f>SUM(E23:E24)</f>
        <v>0</v>
      </c>
      <c r="F25" s="264">
        <f>SUM(C25:E25)</f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f t="shared" si="2"/>
        <v>0</v>
      </c>
      <c r="T25" s="264">
        <f t="shared" si="2"/>
        <v>0</v>
      </c>
      <c r="U25" s="264">
        <f t="shared" si="2"/>
        <v>0</v>
      </c>
      <c r="V25" s="264">
        <f>SUM(S25:U25)</f>
        <v>0</v>
      </c>
    </row>
    <row r="26" spans="1:22" s="5" customFormat="1" ht="12.75">
      <c r="A26" s="17"/>
      <c r="B26" s="82" t="s">
        <v>32</v>
      </c>
      <c r="C26" s="279">
        <f>C25+C21</f>
        <v>19310.257061999993</v>
      </c>
      <c r="D26" s="279">
        <f>D25+D21</f>
        <v>5066.713125</v>
      </c>
      <c r="E26" s="279">
        <f>E25+E21</f>
        <v>2645.4998129999994</v>
      </c>
      <c r="F26" s="279">
        <f>SUM(C26:E26)</f>
        <v>27022.46999999999</v>
      </c>
      <c r="G26" s="279">
        <f aca="true" t="shared" si="3" ref="G26:V26">G25+G21</f>
        <v>12474.950849999997</v>
      </c>
      <c r="H26" s="279">
        <f t="shared" si="3"/>
        <v>3273.234375</v>
      </c>
      <c r="I26" s="279">
        <f t="shared" si="3"/>
        <v>1709.066007</v>
      </c>
      <c r="J26" s="279">
        <f t="shared" si="3"/>
        <v>17457.251232</v>
      </c>
      <c r="K26" s="279">
        <f t="shared" si="3"/>
        <v>14956.325399999998</v>
      </c>
      <c r="L26" s="279">
        <f t="shared" si="3"/>
        <v>1949.8124999999998</v>
      </c>
      <c r="M26" s="279">
        <f t="shared" si="3"/>
        <v>1018.0495879999999</v>
      </c>
      <c r="N26" s="279">
        <f t="shared" si="3"/>
        <v>17924.187488</v>
      </c>
      <c r="O26" s="279">
        <f t="shared" si="3"/>
        <v>27431.276249999995</v>
      </c>
      <c r="P26" s="279">
        <f t="shared" si="3"/>
        <v>5223.046875</v>
      </c>
      <c r="Q26" s="279">
        <f t="shared" si="3"/>
        <v>2727.115595</v>
      </c>
      <c r="R26" s="279">
        <f t="shared" si="3"/>
        <v>35381.43871999999</v>
      </c>
      <c r="S26" s="279">
        <f t="shared" si="3"/>
        <v>160.55632800000006</v>
      </c>
      <c r="T26" s="279">
        <f t="shared" si="3"/>
        <v>42.12749999999998</v>
      </c>
      <c r="U26" s="279">
        <f t="shared" si="3"/>
        <v>22.007451999999834</v>
      </c>
      <c r="V26" s="279">
        <f t="shared" si="3"/>
        <v>224.6912799999999</v>
      </c>
    </row>
    <row r="28" ht="12.75">
      <c r="B28" s="504" t="s">
        <v>870</v>
      </c>
    </row>
    <row r="34" spans="18:22" ht="14.25">
      <c r="R34" s="592" t="s">
        <v>860</v>
      </c>
      <c r="S34" s="592"/>
      <c r="T34" s="592"/>
      <c r="U34" s="592"/>
      <c r="V34" s="592"/>
    </row>
    <row r="35" spans="18:22" ht="14.25">
      <c r="R35" s="592" t="s">
        <v>653</v>
      </c>
      <c r="S35" s="592"/>
      <c r="T35" s="592"/>
      <c r="U35" s="592"/>
      <c r="V35" s="592"/>
    </row>
  </sheetData>
  <sheetProtection/>
  <mergeCells count="17"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G2:O2"/>
    <mergeCell ref="R35:V35"/>
    <mergeCell ref="R34:V34"/>
    <mergeCell ref="A3:V3"/>
    <mergeCell ref="A4:V4"/>
    <mergeCell ref="A6:V6"/>
    <mergeCell ref="S11:V12"/>
  </mergeCells>
  <printOptions horizontalCentered="1"/>
  <pageMargins left="0.4" right="0.29" top="0.49" bottom="0" header="0.31496062992125984" footer="0.31496062992125984"/>
  <pageSetup fitToHeight="1" fitToWidth="1" horizontalDpi="600" verticalDpi="600" orientation="landscape" paperSize="9" scale="69" r:id="rId1"/>
  <colBreaks count="1" manualBreakCount="1">
    <brk id="2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8.28125" style="6" customWidth="1"/>
    <col min="2" max="2" width="23.57421875" style="6" customWidth="1"/>
    <col min="3" max="3" width="16.7109375" style="6" customWidth="1"/>
    <col min="4" max="4" width="12.57421875" style="6" customWidth="1"/>
    <col min="5" max="5" width="13.00390625" style="6" customWidth="1"/>
    <col min="6" max="6" width="14.7109375" style="6" customWidth="1"/>
    <col min="7" max="7" width="13.57421875" style="6" customWidth="1"/>
    <col min="8" max="8" width="15.57421875" style="6" customWidth="1"/>
    <col min="9" max="16384" width="9.140625" style="6" customWidth="1"/>
  </cols>
  <sheetData>
    <row r="1" spans="1:8" ht="15.75">
      <c r="A1" s="562" t="s">
        <v>0</v>
      </c>
      <c r="B1" s="562"/>
      <c r="C1" s="562"/>
      <c r="D1" s="562"/>
      <c r="E1" s="562"/>
      <c r="F1" s="562"/>
      <c r="G1" s="562"/>
      <c r="H1" s="209" t="s">
        <v>515</v>
      </c>
    </row>
    <row r="2" spans="1:8" ht="20.25">
      <c r="A2" s="563" t="s">
        <v>695</v>
      </c>
      <c r="B2" s="563"/>
      <c r="C2" s="563"/>
      <c r="D2" s="563"/>
      <c r="E2" s="563"/>
      <c r="F2" s="563"/>
      <c r="G2" s="563"/>
      <c r="H2" s="563"/>
    </row>
    <row r="4" spans="1:8" ht="15.75">
      <c r="A4" s="562" t="s">
        <v>514</v>
      </c>
      <c r="B4" s="562"/>
      <c r="C4" s="562"/>
      <c r="D4" s="562"/>
      <c r="E4" s="562"/>
      <c r="F4" s="562"/>
      <c r="G4" s="562"/>
      <c r="H4" s="562"/>
    </row>
    <row r="5" spans="1:8" ht="12.75">
      <c r="A5" s="76" t="s">
        <v>665</v>
      </c>
      <c r="B5" s="76"/>
      <c r="C5" s="76"/>
      <c r="D5" s="76"/>
      <c r="E5" s="76"/>
      <c r="F5" s="76"/>
      <c r="G5" s="770" t="s">
        <v>750</v>
      </c>
      <c r="H5" s="770"/>
    </row>
    <row r="6" spans="1:8" ht="21.75" customHeight="1">
      <c r="A6" s="642" t="s">
        <v>2</v>
      </c>
      <c r="B6" s="642" t="s">
        <v>494</v>
      </c>
      <c r="C6" s="530" t="s">
        <v>33</v>
      </c>
      <c r="D6" s="530" t="s">
        <v>499</v>
      </c>
      <c r="E6" s="530"/>
      <c r="F6" s="538" t="s">
        <v>500</v>
      </c>
      <c r="G6" s="538"/>
      <c r="H6" s="642" t="s">
        <v>224</v>
      </c>
    </row>
    <row r="7" spans="1:8" ht="25.5" customHeight="1">
      <c r="A7" s="643"/>
      <c r="B7" s="643"/>
      <c r="C7" s="530"/>
      <c r="D7" s="1" t="s">
        <v>495</v>
      </c>
      <c r="E7" s="1" t="s">
        <v>496</v>
      </c>
      <c r="F7" s="159" t="s">
        <v>497</v>
      </c>
      <c r="G7" s="1" t="s">
        <v>498</v>
      </c>
      <c r="H7" s="643"/>
    </row>
    <row r="8" spans="1:8" ht="12.7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149">
        <v>8</v>
      </c>
    </row>
    <row r="9" spans="1:8" ht="12.75">
      <c r="A9" s="201">
        <v>1</v>
      </c>
      <c r="B9" s="269" t="s">
        <v>652</v>
      </c>
      <c r="C9" s="269" t="s">
        <v>634</v>
      </c>
      <c r="D9" s="75">
        <v>36</v>
      </c>
      <c r="E9" s="75">
        <v>36</v>
      </c>
      <c r="F9" s="75">
        <v>36</v>
      </c>
      <c r="G9" s="75">
        <v>0</v>
      </c>
      <c r="H9" s="8">
        <v>0</v>
      </c>
    </row>
    <row r="10" spans="1:8" ht="38.25">
      <c r="A10" s="201">
        <v>2</v>
      </c>
      <c r="B10" s="269" t="s">
        <v>853</v>
      </c>
      <c r="C10" s="48" t="s">
        <v>616</v>
      </c>
      <c r="D10" s="75">
        <v>7</v>
      </c>
      <c r="E10" s="75">
        <v>7</v>
      </c>
      <c r="F10" s="75">
        <v>7</v>
      </c>
      <c r="G10" s="75">
        <v>0</v>
      </c>
      <c r="H10" s="8"/>
    </row>
    <row r="11" spans="1:8" s="5" customFormat="1" ht="12.75">
      <c r="A11" s="150"/>
      <c r="B11" s="150" t="s">
        <v>624</v>
      </c>
      <c r="C11" s="17"/>
      <c r="D11" s="150">
        <f>SUM(D9:D10)</f>
        <v>43</v>
      </c>
      <c r="E11" s="150">
        <f>SUM(E9:E10)</f>
        <v>43</v>
      </c>
      <c r="F11" s="150">
        <f>SUM(F9:F10)</f>
        <v>43</v>
      </c>
      <c r="G11" s="150">
        <f>SUM(G9:G10)</f>
        <v>0</v>
      </c>
      <c r="H11" s="17"/>
    </row>
    <row r="15" spans="5:8" ht="15.75">
      <c r="E15" s="621" t="s">
        <v>860</v>
      </c>
      <c r="F15" s="621"/>
      <c r="G15" s="621"/>
      <c r="H15" s="621"/>
    </row>
    <row r="16" spans="5:8" ht="15.75">
      <c r="E16" s="621" t="s">
        <v>653</v>
      </c>
      <c r="F16" s="621"/>
      <c r="G16" s="621"/>
      <c r="H16" s="621"/>
    </row>
  </sheetData>
  <sheetProtection/>
  <mergeCells count="12">
    <mergeCell ref="A4:H4"/>
    <mergeCell ref="A2:H2"/>
    <mergeCell ref="E15:H15"/>
    <mergeCell ref="E16:H16"/>
    <mergeCell ref="A1:G1"/>
    <mergeCell ref="A6:A7"/>
    <mergeCell ref="B6:B7"/>
    <mergeCell ref="C6:C7"/>
    <mergeCell ref="F6:G6"/>
    <mergeCell ref="D6:E6"/>
    <mergeCell ref="H6:H7"/>
    <mergeCell ref="G5:H5"/>
  </mergeCells>
  <printOptions horizontalCentered="1"/>
  <pageMargins left="0.7086614173228347" right="0.7086614173228347" top="0.65" bottom="0" header="0.31496062992125984" footer="0.31496062992125984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6.421875" style="6" customWidth="1"/>
    <col min="2" max="2" width="21.421875" style="6" customWidth="1"/>
    <col min="3" max="3" width="15.28125" style="6" customWidth="1"/>
    <col min="4" max="5" width="15.421875" style="6" customWidth="1"/>
    <col min="6" max="9" width="15.7109375" style="6" customWidth="1"/>
    <col min="10" max="10" width="15.421875" style="6" customWidth="1"/>
    <col min="11" max="11" width="20.00390625" style="6" customWidth="1"/>
    <col min="12" max="12" width="14.28125" style="6" customWidth="1"/>
    <col min="13" max="16384" width="9.140625" style="6" customWidth="1"/>
  </cols>
  <sheetData>
    <row r="1" spans="1:12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209" t="s">
        <v>517</v>
      </c>
    </row>
    <row r="2" spans="1:12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4" spans="1:12" ht="15.75">
      <c r="A4" s="562" t="s">
        <v>516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</row>
    <row r="5" spans="1:12" ht="12.75">
      <c r="A5" s="76" t="s">
        <v>665</v>
      </c>
      <c r="B5" s="76"/>
      <c r="C5" s="76"/>
      <c r="D5" s="76"/>
      <c r="E5" s="76"/>
      <c r="F5" s="76"/>
      <c r="G5" s="76"/>
      <c r="H5" s="76"/>
      <c r="I5" s="76"/>
      <c r="J5" s="76"/>
      <c r="K5" s="770" t="s">
        <v>750</v>
      </c>
      <c r="L5" s="770"/>
    </row>
    <row r="6" spans="1:12" ht="21.75" customHeight="1">
      <c r="A6" s="642" t="s">
        <v>2</v>
      </c>
      <c r="B6" s="642" t="s">
        <v>33</v>
      </c>
      <c r="C6" s="537" t="s">
        <v>460</v>
      </c>
      <c r="D6" s="538"/>
      <c r="E6" s="539"/>
      <c r="F6" s="537" t="s">
        <v>466</v>
      </c>
      <c r="G6" s="538"/>
      <c r="H6" s="538"/>
      <c r="I6" s="539"/>
      <c r="J6" s="530" t="s">
        <v>468</v>
      </c>
      <c r="K6" s="530"/>
      <c r="L6" s="530"/>
    </row>
    <row r="7" spans="1:12" ht="29.25" customHeight="1">
      <c r="A7" s="643"/>
      <c r="B7" s="643"/>
      <c r="C7" s="1" t="s">
        <v>214</v>
      </c>
      <c r="D7" s="1" t="s">
        <v>462</v>
      </c>
      <c r="E7" s="1" t="s">
        <v>467</v>
      </c>
      <c r="F7" s="1" t="s">
        <v>214</v>
      </c>
      <c r="G7" s="1" t="s">
        <v>461</v>
      </c>
      <c r="H7" s="1" t="s">
        <v>463</v>
      </c>
      <c r="I7" s="1" t="s">
        <v>467</v>
      </c>
      <c r="J7" s="1" t="s">
        <v>464</v>
      </c>
      <c r="K7" s="1" t="s">
        <v>465</v>
      </c>
      <c r="L7" s="1" t="s">
        <v>467</v>
      </c>
    </row>
    <row r="8" spans="1:12" ht="12.7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149" t="s">
        <v>266</v>
      </c>
      <c r="I8" s="149" t="s">
        <v>285</v>
      </c>
      <c r="J8" s="149" t="s">
        <v>286</v>
      </c>
      <c r="K8" s="149" t="s">
        <v>287</v>
      </c>
      <c r="L8" s="149" t="s">
        <v>315</v>
      </c>
    </row>
    <row r="9" spans="1:12" ht="12.75">
      <c r="A9" s="201">
        <v>1</v>
      </c>
      <c r="B9" s="201" t="s">
        <v>633</v>
      </c>
      <c r="C9" s="658" t="s">
        <v>638</v>
      </c>
      <c r="D9" s="659"/>
      <c r="E9" s="659"/>
      <c r="F9" s="659"/>
      <c r="G9" s="659"/>
      <c r="H9" s="659"/>
      <c r="I9" s="659"/>
      <c r="J9" s="659"/>
      <c r="K9" s="659"/>
      <c r="L9" s="660"/>
    </row>
    <row r="10" spans="1:12" ht="12.75">
      <c r="A10" s="201">
        <f>A9+1</f>
        <v>2</v>
      </c>
      <c r="B10" s="201" t="s">
        <v>598</v>
      </c>
      <c r="C10" s="661"/>
      <c r="D10" s="662"/>
      <c r="E10" s="662"/>
      <c r="F10" s="662"/>
      <c r="G10" s="662"/>
      <c r="H10" s="662"/>
      <c r="I10" s="662"/>
      <c r="J10" s="662"/>
      <c r="K10" s="662"/>
      <c r="L10" s="663"/>
    </row>
    <row r="11" spans="1:12" ht="12.75">
      <c r="A11" s="201">
        <f aca="true" t="shared" si="0" ref="A11:A39">A10+1</f>
        <v>3</v>
      </c>
      <c r="B11" s="201" t="s">
        <v>634</v>
      </c>
      <c r="C11" s="661"/>
      <c r="D11" s="662"/>
      <c r="E11" s="662"/>
      <c r="F11" s="662"/>
      <c r="G11" s="662"/>
      <c r="H11" s="662"/>
      <c r="I11" s="662"/>
      <c r="J11" s="662"/>
      <c r="K11" s="662"/>
      <c r="L11" s="663"/>
    </row>
    <row r="12" spans="1:12" ht="12.75">
      <c r="A12" s="201">
        <f t="shared" si="0"/>
        <v>4</v>
      </c>
      <c r="B12" s="201" t="s">
        <v>599</v>
      </c>
      <c r="C12" s="661"/>
      <c r="D12" s="662"/>
      <c r="E12" s="662"/>
      <c r="F12" s="662"/>
      <c r="G12" s="662"/>
      <c r="H12" s="662"/>
      <c r="I12" s="662"/>
      <c r="J12" s="662"/>
      <c r="K12" s="662"/>
      <c r="L12" s="663"/>
    </row>
    <row r="13" spans="1:12" ht="12.75">
      <c r="A13" s="201">
        <f t="shared" si="0"/>
        <v>5</v>
      </c>
      <c r="B13" s="201" t="s">
        <v>600</v>
      </c>
      <c r="C13" s="661"/>
      <c r="D13" s="662"/>
      <c r="E13" s="662"/>
      <c r="F13" s="662"/>
      <c r="G13" s="662"/>
      <c r="H13" s="662"/>
      <c r="I13" s="662"/>
      <c r="J13" s="662"/>
      <c r="K13" s="662"/>
      <c r="L13" s="663"/>
    </row>
    <row r="14" spans="1:12" ht="12.75">
      <c r="A14" s="201">
        <f t="shared" si="0"/>
        <v>6</v>
      </c>
      <c r="B14" s="201" t="s">
        <v>601</v>
      </c>
      <c r="C14" s="661"/>
      <c r="D14" s="662"/>
      <c r="E14" s="662"/>
      <c r="F14" s="662"/>
      <c r="G14" s="662"/>
      <c r="H14" s="662"/>
      <c r="I14" s="662"/>
      <c r="J14" s="662"/>
      <c r="K14" s="662"/>
      <c r="L14" s="663"/>
    </row>
    <row r="15" spans="1:12" ht="12.75">
      <c r="A15" s="201">
        <f t="shared" si="0"/>
        <v>7</v>
      </c>
      <c r="B15" s="201" t="s">
        <v>602</v>
      </c>
      <c r="C15" s="661"/>
      <c r="D15" s="662"/>
      <c r="E15" s="662"/>
      <c r="F15" s="662"/>
      <c r="G15" s="662"/>
      <c r="H15" s="662"/>
      <c r="I15" s="662"/>
      <c r="J15" s="662"/>
      <c r="K15" s="662"/>
      <c r="L15" s="663"/>
    </row>
    <row r="16" spans="1:12" ht="12.75">
      <c r="A16" s="201">
        <f t="shared" si="0"/>
        <v>8</v>
      </c>
      <c r="B16" s="201" t="s">
        <v>603</v>
      </c>
      <c r="C16" s="661"/>
      <c r="D16" s="662"/>
      <c r="E16" s="662"/>
      <c r="F16" s="662"/>
      <c r="G16" s="662"/>
      <c r="H16" s="662"/>
      <c r="I16" s="662"/>
      <c r="J16" s="662"/>
      <c r="K16" s="662"/>
      <c r="L16" s="663"/>
    </row>
    <row r="17" spans="1:12" ht="12.75">
      <c r="A17" s="201">
        <f t="shared" si="0"/>
        <v>9</v>
      </c>
      <c r="B17" s="201" t="s">
        <v>604</v>
      </c>
      <c r="C17" s="661"/>
      <c r="D17" s="662"/>
      <c r="E17" s="662"/>
      <c r="F17" s="662"/>
      <c r="G17" s="662"/>
      <c r="H17" s="662"/>
      <c r="I17" s="662"/>
      <c r="J17" s="662"/>
      <c r="K17" s="662"/>
      <c r="L17" s="663"/>
    </row>
    <row r="18" spans="1:12" ht="12.75">
      <c r="A18" s="201">
        <f t="shared" si="0"/>
        <v>10</v>
      </c>
      <c r="B18" s="201" t="s">
        <v>605</v>
      </c>
      <c r="C18" s="661"/>
      <c r="D18" s="662"/>
      <c r="E18" s="662"/>
      <c r="F18" s="662"/>
      <c r="G18" s="662"/>
      <c r="H18" s="662"/>
      <c r="I18" s="662"/>
      <c r="J18" s="662"/>
      <c r="K18" s="662"/>
      <c r="L18" s="663"/>
    </row>
    <row r="19" spans="1:12" ht="12.75">
      <c r="A19" s="201">
        <f t="shared" si="0"/>
        <v>11</v>
      </c>
      <c r="B19" s="201" t="s">
        <v>635</v>
      </c>
      <c r="C19" s="661"/>
      <c r="D19" s="662"/>
      <c r="E19" s="662"/>
      <c r="F19" s="662"/>
      <c r="G19" s="662"/>
      <c r="H19" s="662"/>
      <c r="I19" s="662"/>
      <c r="J19" s="662"/>
      <c r="K19" s="662"/>
      <c r="L19" s="663"/>
    </row>
    <row r="20" spans="1:12" ht="12.75">
      <c r="A20" s="201">
        <f t="shared" si="0"/>
        <v>12</v>
      </c>
      <c r="B20" s="201" t="s">
        <v>606</v>
      </c>
      <c r="C20" s="661"/>
      <c r="D20" s="662"/>
      <c r="E20" s="662"/>
      <c r="F20" s="662"/>
      <c r="G20" s="662"/>
      <c r="H20" s="662"/>
      <c r="I20" s="662"/>
      <c r="J20" s="662"/>
      <c r="K20" s="662"/>
      <c r="L20" s="663"/>
    </row>
    <row r="21" spans="1:12" ht="12.75">
      <c r="A21" s="201">
        <f t="shared" si="0"/>
        <v>13</v>
      </c>
      <c r="B21" s="201" t="s">
        <v>607</v>
      </c>
      <c r="C21" s="661"/>
      <c r="D21" s="662"/>
      <c r="E21" s="662"/>
      <c r="F21" s="662"/>
      <c r="G21" s="662"/>
      <c r="H21" s="662"/>
      <c r="I21" s="662"/>
      <c r="J21" s="662"/>
      <c r="K21" s="662"/>
      <c r="L21" s="663"/>
    </row>
    <row r="22" spans="1:12" ht="12.75">
      <c r="A22" s="201">
        <f t="shared" si="0"/>
        <v>14</v>
      </c>
      <c r="B22" s="201" t="s">
        <v>636</v>
      </c>
      <c r="C22" s="661"/>
      <c r="D22" s="662"/>
      <c r="E22" s="662"/>
      <c r="F22" s="662"/>
      <c r="G22" s="662"/>
      <c r="H22" s="662"/>
      <c r="I22" s="662"/>
      <c r="J22" s="662"/>
      <c r="K22" s="662"/>
      <c r="L22" s="663"/>
    </row>
    <row r="23" spans="1:12" ht="12.75">
      <c r="A23" s="201">
        <f t="shared" si="0"/>
        <v>15</v>
      </c>
      <c r="B23" s="201" t="s">
        <v>608</v>
      </c>
      <c r="C23" s="661"/>
      <c r="D23" s="662"/>
      <c r="E23" s="662"/>
      <c r="F23" s="662"/>
      <c r="G23" s="662"/>
      <c r="H23" s="662"/>
      <c r="I23" s="662"/>
      <c r="J23" s="662"/>
      <c r="K23" s="662"/>
      <c r="L23" s="663"/>
    </row>
    <row r="24" spans="1:12" ht="12.75">
      <c r="A24" s="201">
        <f t="shared" si="0"/>
        <v>16</v>
      </c>
      <c r="B24" s="201" t="s">
        <v>609</v>
      </c>
      <c r="C24" s="661"/>
      <c r="D24" s="662"/>
      <c r="E24" s="662"/>
      <c r="F24" s="662"/>
      <c r="G24" s="662"/>
      <c r="H24" s="662"/>
      <c r="I24" s="662"/>
      <c r="J24" s="662"/>
      <c r="K24" s="662"/>
      <c r="L24" s="663"/>
    </row>
    <row r="25" spans="1:12" ht="12.75">
      <c r="A25" s="201">
        <f t="shared" si="0"/>
        <v>17</v>
      </c>
      <c r="B25" s="201" t="s">
        <v>610</v>
      </c>
      <c r="C25" s="661"/>
      <c r="D25" s="662"/>
      <c r="E25" s="662"/>
      <c r="F25" s="662"/>
      <c r="G25" s="662"/>
      <c r="H25" s="662"/>
      <c r="I25" s="662"/>
      <c r="J25" s="662"/>
      <c r="K25" s="662"/>
      <c r="L25" s="663"/>
    </row>
    <row r="26" spans="1:12" ht="12.75">
      <c r="A26" s="201">
        <f t="shared" si="0"/>
        <v>18</v>
      </c>
      <c r="B26" s="201" t="s">
        <v>611</v>
      </c>
      <c r="C26" s="661"/>
      <c r="D26" s="662"/>
      <c r="E26" s="662"/>
      <c r="F26" s="662"/>
      <c r="G26" s="662"/>
      <c r="H26" s="662"/>
      <c r="I26" s="662"/>
      <c r="J26" s="662"/>
      <c r="K26" s="662"/>
      <c r="L26" s="663"/>
    </row>
    <row r="27" spans="1:14" ht="12.75">
      <c r="A27" s="201">
        <f t="shared" si="0"/>
        <v>19</v>
      </c>
      <c r="B27" s="201" t="s">
        <v>637</v>
      </c>
      <c r="C27" s="661"/>
      <c r="D27" s="662"/>
      <c r="E27" s="662"/>
      <c r="F27" s="662"/>
      <c r="G27" s="662"/>
      <c r="H27" s="662"/>
      <c r="I27" s="662"/>
      <c r="J27" s="662"/>
      <c r="K27" s="662"/>
      <c r="L27" s="663"/>
      <c r="N27" s="6" t="s">
        <v>11</v>
      </c>
    </row>
    <row r="28" spans="1:12" ht="12.75">
      <c r="A28" s="201">
        <f t="shared" si="0"/>
        <v>20</v>
      </c>
      <c r="B28" s="201" t="s">
        <v>612</v>
      </c>
      <c r="C28" s="661"/>
      <c r="D28" s="662"/>
      <c r="E28" s="662"/>
      <c r="F28" s="662"/>
      <c r="G28" s="662"/>
      <c r="H28" s="662"/>
      <c r="I28" s="662"/>
      <c r="J28" s="662"/>
      <c r="K28" s="662"/>
      <c r="L28" s="663"/>
    </row>
    <row r="29" spans="1:12" ht="12.75">
      <c r="A29" s="201">
        <f t="shared" si="0"/>
        <v>21</v>
      </c>
      <c r="B29" s="201" t="s">
        <v>613</v>
      </c>
      <c r="C29" s="661"/>
      <c r="D29" s="662"/>
      <c r="E29" s="662"/>
      <c r="F29" s="662"/>
      <c r="G29" s="662"/>
      <c r="H29" s="662"/>
      <c r="I29" s="662"/>
      <c r="J29" s="662"/>
      <c r="K29" s="662"/>
      <c r="L29" s="663"/>
    </row>
    <row r="30" spans="1:12" ht="12.75">
      <c r="A30" s="201">
        <f t="shared" si="0"/>
        <v>22</v>
      </c>
      <c r="B30" s="201" t="s">
        <v>614</v>
      </c>
      <c r="C30" s="661"/>
      <c r="D30" s="662"/>
      <c r="E30" s="662"/>
      <c r="F30" s="662"/>
      <c r="G30" s="662"/>
      <c r="H30" s="662"/>
      <c r="I30" s="662"/>
      <c r="J30" s="662"/>
      <c r="K30" s="662"/>
      <c r="L30" s="663"/>
    </row>
    <row r="31" spans="1:12" ht="12.75">
      <c r="A31" s="201">
        <f t="shared" si="0"/>
        <v>23</v>
      </c>
      <c r="B31" s="201" t="s">
        <v>615</v>
      </c>
      <c r="C31" s="661"/>
      <c r="D31" s="662"/>
      <c r="E31" s="662"/>
      <c r="F31" s="662"/>
      <c r="G31" s="662"/>
      <c r="H31" s="662"/>
      <c r="I31" s="662"/>
      <c r="J31" s="662"/>
      <c r="K31" s="662"/>
      <c r="L31" s="663"/>
    </row>
    <row r="32" spans="1:12" ht="12.75">
      <c r="A32" s="201">
        <f t="shared" si="0"/>
        <v>24</v>
      </c>
      <c r="B32" s="201" t="s">
        <v>616</v>
      </c>
      <c r="C32" s="661"/>
      <c r="D32" s="662"/>
      <c r="E32" s="662"/>
      <c r="F32" s="662"/>
      <c r="G32" s="662"/>
      <c r="H32" s="662"/>
      <c r="I32" s="662"/>
      <c r="J32" s="662"/>
      <c r="K32" s="662"/>
      <c r="L32" s="663"/>
    </row>
    <row r="33" spans="1:12" ht="12.75">
      <c r="A33" s="201">
        <f t="shared" si="0"/>
        <v>25</v>
      </c>
      <c r="B33" s="201" t="s">
        <v>617</v>
      </c>
      <c r="C33" s="661"/>
      <c r="D33" s="662"/>
      <c r="E33" s="662"/>
      <c r="F33" s="662"/>
      <c r="G33" s="662"/>
      <c r="H33" s="662"/>
      <c r="I33" s="662"/>
      <c r="J33" s="662"/>
      <c r="K33" s="662"/>
      <c r="L33" s="663"/>
    </row>
    <row r="34" spans="1:12" ht="12.75">
      <c r="A34" s="201">
        <f t="shared" si="0"/>
        <v>26</v>
      </c>
      <c r="B34" s="201" t="s">
        <v>618</v>
      </c>
      <c r="C34" s="661"/>
      <c r="D34" s="662"/>
      <c r="E34" s="662"/>
      <c r="F34" s="662"/>
      <c r="G34" s="662"/>
      <c r="H34" s="662"/>
      <c r="I34" s="662"/>
      <c r="J34" s="662"/>
      <c r="K34" s="662"/>
      <c r="L34" s="663"/>
    </row>
    <row r="35" spans="1:12" ht="12.75">
      <c r="A35" s="201">
        <f t="shared" si="0"/>
        <v>27</v>
      </c>
      <c r="B35" s="201" t="s">
        <v>619</v>
      </c>
      <c r="C35" s="661"/>
      <c r="D35" s="662"/>
      <c r="E35" s="662"/>
      <c r="F35" s="662"/>
      <c r="G35" s="662"/>
      <c r="H35" s="662"/>
      <c r="I35" s="662"/>
      <c r="J35" s="662"/>
      <c r="K35" s="662"/>
      <c r="L35" s="663"/>
    </row>
    <row r="36" spans="1:12" ht="12.75">
      <c r="A36" s="201">
        <f t="shared" si="0"/>
        <v>28</v>
      </c>
      <c r="B36" s="143" t="s">
        <v>620</v>
      </c>
      <c r="C36" s="661"/>
      <c r="D36" s="662"/>
      <c r="E36" s="662"/>
      <c r="F36" s="662"/>
      <c r="G36" s="662"/>
      <c r="H36" s="662"/>
      <c r="I36" s="662"/>
      <c r="J36" s="662"/>
      <c r="K36" s="662"/>
      <c r="L36" s="663"/>
    </row>
    <row r="37" spans="1:12" ht="12.75">
      <c r="A37" s="201">
        <f t="shared" si="0"/>
        <v>29</v>
      </c>
      <c r="B37" s="143" t="s">
        <v>621</v>
      </c>
      <c r="C37" s="661"/>
      <c r="D37" s="662"/>
      <c r="E37" s="662"/>
      <c r="F37" s="662"/>
      <c r="G37" s="662"/>
      <c r="H37" s="662"/>
      <c r="I37" s="662"/>
      <c r="J37" s="662"/>
      <c r="K37" s="662"/>
      <c r="L37" s="663"/>
    </row>
    <row r="38" spans="1:12" ht="12.75" customHeight="1">
      <c r="A38" s="201">
        <f t="shared" si="0"/>
        <v>30</v>
      </c>
      <c r="B38" s="143" t="s">
        <v>622</v>
      </c>
      <c r="C38" s="661"/>
      <c r="D38" s="662"/>
      <c r="E38" s="662"/>
      <c r="F38" s="662"/>
      <c r="G38" s="662"/>
      <c r="H38" s="662"/>
      <c r="I38" s="662"/>
      <c r="J38" s="662"/>
      <c r="K38" s="662"/>
      <c r="L38" s="663"/>
    </row>
    <row r="39" spans="1:12" ht="12.75" customHeight="1">
      <c r="A39" s="201">
        <f t="shared" si="0"/>
        <v>31</v>
      </c>
      <c r="B39" s="143" t="s">
        <v>623</v>
      </c>
      <c r="C39" s="661"/>
      <c r="D39" s="662"/>
      <c r="E39" s="662"/>
      <c r="F39" s="662"/>
      <c r="G39" s="662"/>
      <c r="H39" s="662"/>
      <c r="I39" s="662"/>
      <c r="J39" s="662"/>
      <c r="K39" s="662"/>
      <c r="L39" s="663"/>
    </row>
    <row r="40" spans="1:12" ht="12.75" customHeight="1">
      <c r="A40" s="150"/>
      <c r="B40" s="150" t="s">
        <v>624</v>
      </c>
      <c r="C40" s="664"/>
      <c r="D40" s="665"/>
      <c r="E40" s="665"/>
      <c r="F40" s="665"/>
      <c r="G40" s="665"/>
      <c r="H40" s="665"/>
      <c r="I40" s="665"/>
      <c r="J40" s="665"/>
      <c r="K40" s="665"/>
      <c r="L40" s="666"/>
    </row>
    <row r="41" spans="1:6" ht="12.75">
      <c r="A41" s="106"/>
      <c r="F41" s="106"/>
    </row>
    <row r="44" spans="9:12" ht="15.75">
      <c r="I44" s="621" t="s">
        <v>860</v>
      </c>
      <c r="J44" s="621"/>
      <c r="K44" s="621"/>
      <c r="L44" s="621"/>
    </row>
    <row r="45" spans="9:12" ht="15.75">
      <c r="I45" s="621" t="s">
        <v>653</v>
      </c>
      <c r="J45" s="621"/>
      <c r="K45" s="621"/>
      <c r="L45" s="621"/>
    </row>
  </sheetData>
  <sheetProtection/>
  <mergeCells count="12">
    <mergeCell ref="A2:L2"/>
    <mergeCell ref="A4:L4"/>
    <mergeCell ref="I44:L44"/>
    <mergeCell ref="I45:L45"/>
    <mergeCell ref="A1:K1"/>
    <mergeCell ref="C6:E6"/>
    <mergeCell ref="F6:I6"/>
    <mergeCell ref="J6:L6"/>
    <mergeCell ref="A6:A7"/>
    <mergeCell ref="B6:B7"/>
    <mergeCell ref="C9:L40"/>
    <mergeCell ref="K5:L5"/>
  </mergeCells>
  <printOptions horizontalCentered="1"/>
  <pageMargins left="0.7086614173228347" right="0.7086614173228347" top="0.43" bottom="0" header="0.31496062992125984" footer="0.31496062992125984"/>
  <pageSetup fitToHeight="1" fitToWidth="1" horizontalDpi="600" verticalDpi="600" orientation="landscape" paperSize="9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7109375" style="6" customWidth="1"/>
    <col min="2" max="2" width="18.57421875" style="6" customWidth="1"/>
    <col min="3" max="4" width="12.7109375" style="6" customWidth="1"/>
    <col min="5" max="5" width="12.8515625" style="6" customWidth="1"/>
    <col min="6" max="6" width="13.28125" style="6" customWidth="1"/>
    <col min="7" max="7" width="13.7109375" style="6" customWidth="1"/>
    <col min="8" max="8" width="12.421875" style="6" customWidth="1"/>
    <col min="9" max="9" width="15.57421875" style="6" customWidth="1"/>
    <col min="10" max="10" width="17.00390625" style="6" customWidth="1"/>
    <col min="11" max="11" width="14.28125" style="6" customWidth="1"/>
    <col min="12" max="16384" width="9.140625" style="6" customWidth="1"/>
  </cols>
  <sheetData>
    <row r="1" spans="1:11" ht="15.75">
      <c r="A1" s="562" t="s">
        <v>0</v>
      </c>
      <c r="B1" s="562"/>
      <c r="C1" s="562"/>
      <c r="D1" s="562"/>
      <c r="E1" s="562"/>
      <c r="F1" s="562"/>
      <c r="G1" s="562"/>
      <c r="H1" s="562"/>
      <c r="I1" s="155"/>
      <c r="J1" s="155"/>
      <c r="K1" s="209" t="s">
        <v>519</v>
      </c>
    </row>
    <row r="2" spans="1:11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4" spans="1:11" ht="15.75">
      <c r="A4" s="562" t="s">
        <v>518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0" ht="12.75">
      <c r="A5" s="76" t="s">
        <v>665</v>
      </c>
      <c r="B5" s="76"/>
      <c r="C5" s="76"/>
      <c r="D5" s="76"/>
      <c r="E5" s="76"/>
      <c r="F5" s="76"/>
      <c r="H5" s="76"/>
      <c r="I5" s="76"/>
      <c r="J5" s="76" t="s">
        <v>750</v>
      </c>
    </row>
    <row r="6" spans="1:11" ht="21.75" customHeight="1">
      <c r="A6" s="642" t="s">
        <v>2</v>
      </c>
      <c r="B6" s="642" t="s">
        <v>33</v>
      </c>
      <c r="C6" s="537" t="s">
        <v>478</v>
      </c>
      <c r="D6" s="538"/>
      <c r="E6" s="539"/>
      <c r="F6" s="537" t="s">
        <v>481</v>
      </c>
      <c r="G6" s="538"/>
      <c r="H6" s="539"/>
      <c r="I6" s="642" t="s">
        <v>567</v>
      </c>
      <c r="J6" s="642" t="s">
        <v>566</v>
      </c>
      <c r="K6" s="642" t="s">
        <v>74</v>
      </c>
    </row>
    <row r="7" spans="1:11" ht="26.25" customHeight="1">
      <c r="A7" s="643"/>
      <c r="B7" s="643"/>
      <c r="C7" s="1" t="s">
        <v>477</v>
      </c>
      <c r="D7" s="1" t="s">
        <v>479</v>
      </c>
      <c r="E7" s="1" t="s">
        <v>480</v>
      </c>
      <c r="F7" s="1" t="s">
        <v>477</v>
      </c>
      <c r="G7" s="1" t="s">
        <v>479</v>
      </c>
      <c r="H7" s="1" t="s">
        <v>480</v>
      </c>
      <c r="I7" s="643"/>
      <c r="J7" s="643"/>
      <c r="K7" s="643"/>
    </row>
    <row r="8" spans="1:11" ht="12.75">
      <c r="A8" s="211">
        <v>1</v>
      </c>
      <c r="B8" s="211">
        <v>2</v>
      </c>
      <c r="C8" s="211">
        <v>3</v>
      </c>
      <c r="D8" s="211">
        <v>4</v>
      </c>
      <c r="E8" s="211">
        <v>5</v>
      </c>
      <c r="F8" s="211">
        <v>6</v>
      </c>
      <c r="G8" s="211">
        <v>7</v>
      </c>
      <c r="H8" s="211">
        <v>8</v>
      </c>
      <c r="I8" s="211">
        <v>9</v>
      </c>
      <c r="J8" s="211">
        <v>10</v>
      </c>
      <c r="K8" s="211">
        <v>11</v>
      </c>
    </row>
    <row r="9" spans="1:11" ht="12.75">
      <c r="A9" s="201">
        <v>1</v>
      </c>
      <c r="B9" s="201" t="s">
        <v>633</v>
      </c>
      <c r="C9" s="771" t="s">
        <v>638</v>
      </c>
      <c r="D9" s="772"/>
      <c r="E9" s="772"/>
      <c r="F9" s="772"/>
      <c r="G9" s="772"/>
      <c r="H9" s="772"/>
      <c r="I9" s="772"/>
      <c r="J9" s="772"/>
      <c r="K9" s="773"/>
    </row>
    <row r="10" spans="1:11" ht="12.75">
      <c r="A10" s="201">
        <f>A9+1</f>
        <v>2</v>
      </c>
      <c r="B10" s="201" t="s">
        <v>598</v>
      </c>
      <c r="C10" s="774"/>
      <c r="D10" s="775"/>
      <c r="E10" s="775"/>
      <c r="F10" s="775"/>
      <c r="G10" s="775"/>
      <c r="H10" s="775"/>
      <c r="I10" s="775"/>
      <c r="J10" s="775"/>
      <c r="K10" s="776"/>
    </row>
    <row r="11" spans="1:11" ht="12.75">
      <c r="A11" s="201">
        <f aca="true" t="shared" si="0" ref="A11:A39">A10+1</f>
        <v>3</v>
      </c>
      <c r="B11" s="201" t="s">
        <v>634</v>
      </c>
      <c r="C11" s="774"/>
      <c r="D11" s="775"/>
      <c r="E11" s="775"/>
      <c r="F11" s="775"/>
      <c r="G11" s="775"/>
      <c r="H11" s="775"/>
      <c r="I11" s="775"/>
      <c r="J11" s="775"/>
      <c r="K11" s="776"/>
    </row>
    <row r="12" spans="1:11" ht="12.75">
      <c r="A12" s="201">
        <f t="shared" si="0"/>
        <v>4</v>
      </c>
      <c r="B12" s="201" t="s">
        <v>599</v>
      </c>
      <c r="C12" s="774"/>
      <c r="D12" s="775"/>
      <c r="E12" s="775"/>
      <c r="F12" s="775"/>
      <c r="G12" s="775"/>
      <c r="H12" s="775"/>
      <c r="I12" s="775"/>
      <c r="J12" s="775"/>
      <c r="K12" s="776"/>
    </row>
    <row r="13" spans="1:11" ht="12.75">
      <c r="A13" s="201">
        <f t="shared" si="0"/>
        <v>5</v>
      </c>
      <c r="B13" s="201" t="s">
        <v>600</v>
      </c>
      <c r="C13" s="774"/>
      <c r="D13" s="775"/>
      <c r="E13" s="775"/>
      <c r="F13" s="775"/>
      <c r="G13" s="775"/>
      <c r="H13" s="775"/>
      <c r="I13" s="775"/>
      <c r="J13" s="775"/>
      <c r="K13" s="776"/>
    </row>
    <row r="14" spans="1:11" ht="12.75">
      <c r="A14" s="201">
        <f t="shared" si="0"/>
        <v>6</v>
      </c>
      <c r="B14" s="201" t="s">
        <v>601</v>
      </c>
      <c r="C14" s="774"/>
      <c r="D14" s="775"/>
      <c r="E14" s="775"/>
      <c r="F14" s="775"/>
      <c r="G14" s="775"/>
      <c r="H14" s="775"/>
      <c r="I14" s="775"/>
      <c r="J14" s="775"/>
      <c r="K14" s="776"/>
    </row>
    <row r="15" spans="1:11" ht="12.75">
      <c r="A15" s="201">
        <f t="shared" si="0"/>
        <v>7</v>
      </c>
      <c r="B15" s="201" t="s">
        <v>602</v>
      </c>
      <c r="C15" s="774"/>
      <c r="D15" s="775"/>
      <c r="E15" s="775"/>
      <c r="F15" s="775"/>
      <c r="G15" s="775"/>
      <c r="H15" s="775"/>
      <c r="I15" s="775"/>
      <c r="J15" s="775"/>
      <c r="K15" s="776"/>
    </row>
    <row r="16" spans="1:11" ht="12.75">
      <c r="A16" s="201">
        <f t="shared" si="0"/>
        <v>8</v>
      </c>
      <c r="B16" s="201" t="s">
        <v>603</v>
      </c>
      <c r="C16" s="774"/>
      <c r="D16" s="775"/>
      <c r="E16" s="775"/>
      <c r="F16" s="775"/>
      <c r="G16" s="775"/>
      <c r="H16" s="775"/>
      <c r="I16" s="775"/>
      <c r="J16" s="775"/>
      <c r="K16" s="776"/>
    </row>
    <row r="17" spans="1:11" ht="12.75">
      <c r="A17" s="201">
        <f t="shared" si="0"/>
        <v>9</v>
      </c>
      <c r="B17" s="201" t="s">
        <v>604</v>
      </c>
      <c r="C17" s="774"/>
      <c r="D17" s="775"/>
      <c r="E17" s="775"/>
      <c r="F17" s="775"/>
      <c r="G17" s="775"/>
      <c r="H17" s="775"/>
      <c r="I17" s="775"/>
      <c r="J17" s="775"/>
      <c r="K17" s="776"/>
    </row>
    <row r="18" spans="1:11" ht="12.75">
      <c r="A18" s="201">
        <f t="shared" si="0"/>
        <v>10</v>
      </c>
      <c r="B18" s="201" t="s">
        <v>605</v>
      </c>
      <c r="C18" s="774"/>
      <c r="D18" s="775"/>
      <c r="E18" s="775"/>
      <c r="F18" s="775"/>
      <c r="G18" s="775"/>
      <c r="H18" s="775"/>
      <c r="I18" s="775"/>
      <c r="J18" s="775"/>
      <c r="K18" s="776"/>
    </row>
    <row r="19" spans="1:11" ht="12.75">
      <c r="A19" s="201">
        <f t="shared" si="0"/>
        <v>11</v>
      </c>
      <c r="B19" s="201" t="s">
        <v>635</v>
      </c>
      <c r="C19" s="774"/>
      <c r="D19" s="775"/>
      <c r="E19" s="775"/>
      <c r="F19" s="775"/>
      <c r="G19" s="775"/>
      <c r="H19" s="775"/>
      <c r="I19" s="775"/>
      <c r="J19" s="775"/>
      <c r="K19" s="776"/>
    </row>
    <row r="20" spans="1:11" ht="12.75">
      <c r="A20" s="201">
        <f t="shared" si="0"/>
        <v>12</v>
      </c>
      <c r="B20" s="201" t="s">
        <v>606</v>
      </c>
      <c r="C20" s="774"/>
      <c r="D20" s="775"/>
      <c r="E20" s="775"/>
      <c r="F20" s="775"/>
      <c r="G20" s="775"/>
      <c r="H20" s="775"/>
      <c r="I20" s="775"/>
      <c r="J20" s="775"/>
      <c r="K20" s="776"/>
    </row>
    <row r="21" spans="1:11" ht="12.75">
      <c r="A21" s="201">
        <f t="shared" si="0"/>
        <v>13</v>
      </c>
      <c r="B21" s="201" t="s">
        <v>607</v>
      </c>
      <c r="C21" s="774"/>
      <c r="D21" s="775"/>
      <c r="E21" s="775"/>
      <c r="F21" s="775"/>
      <c r="G21" s="775"/>
      <c r="H21" s="775"/>
      <c r="I21" s="775"/>
      <c r="J21" s="775"/>
      <c r="K21" s="776"/>
    </row>
    <row r="22" spans="1:11" ht="12.75">
      <c r="A22" s="201">
        <f t="shared" si="0"/>
        <v>14</v>
      </c>
      <c r="B22" s="201" t="s">
        <v>636</v>
      </c>
      <c r="C22" s="774"/>
      <c r="D22" s="775"/>
      <c r="E22" s="775"/>
      <c r="F22" s="775"/>
      <c r="G22" s="775"/>
      <c r="H22" s="775"/>
      <c r="I22" s="775"/>
      <c r="J22" s="775"/>
      <c r="K22" s="776"/>
    </row>
    <row r="23" spans="1:11" ht="12.75">
      <c r="A23" s="201">
        <f t="shared" si="0"/>
        <v>15</v>
      </c>
      <c r="B23" s="201" t="s">
        <v>608</v>
      </c>
      <c r="C23" s="774"/>
      <c r="D23" s="775"/>
      <c r="E23" s="775"/>
      <c r="F23" s="775"/>
      <c r="G23" s="775"/>
      <c r="H23" s="775"/>
      <c r="I23" s="775"/>
      <c r="J23" s="775"/>
      <c r="K23" s="776"/>
    </row>
    <row r="24" spans="1:11" ht="12.75">
      <c r="A24" s="201">
        <f t="shared" si="0"/>
        <v>16</v>
      </c>
      <c r="B24" s="201" t="s">
        <v>609</v>
      </c>
      <c r="C24" s="774"/>
      <c r="D24" s="775"/>
      <c r="E24" s="775"/>
      <c r="F24" s="775"/>
      <c r="G24" s="775"/>
      <c r="H24" s="775"/>
      <c r="I24" s="775"/>
      <c r="J24" s="775"/>
      <c r="K24" s="776"/>
    </row>
    <row r="25" spans="1:11" ht="12.75">
      <c r="A25" s="201">
        <f t="shared" si="0"/>
        <v>17</v>
      </c>
      <c r="B25" s="201" t="s">
        <v>610</v>
      </c>
      <c r="C25" s="774"/>
      <c r="D25" s="775"/>
      <c r="E25" s="775"/>
      <c r="F25" s="775"/>
      <c r="G25" s="775"/>
      <c r="H25" s="775"/>
      <c r="I25" s="775"/>
      <c r="J25" s="775"/>
      <c r="K25" s="776"/>
    </row>
    <row r="26" spans="1:11" ht="12.75">
      <c r="A26" s="201">
        <f t="shared" si="0"/>
        <v>18</v>
      </c>
      <c r="B26" s="201" t="s">
        <v>611</v>
      </c>
      <c r="C26" s="774"/>
      <c r="D26" s="775"/>
      <c r="E26" s="775"/>
      <c r="F26" s="775"/>
      <c r="G26" s="775"/>
      <c r="H26" s="775"/>
      <c r="I26" s="775"/>
      <c r="J26" s="775"/>
      <c r="K26" s="776"/>
    </row>
    <row r="27" spans="1:11" ht="12.75">
      <c r="A27" s="201">
        <f t="shared" si="0"/>
        <v>19</v>
      </c>
      <c r="B27" s="201" t="s">
        <v>637</v>
      </c>
      <c r="C27" s="774"/>
      <c r="D27" s="775"/>
      <c r="E27" s="775"/>
      <c r="F27" s="775"/>
      <c r="G27" s="775"/>
      <c r="H27" s="775"/>
      <c r="I27" s="775"/>
      <c r="J27" s="775"/>
      <c r="K27" s="776"/>
    </row>
    <row r="28" spans="1:11" ht="12.75">
      <c r="A28" s="201">
        <f t="shared" si="0"/>
        <v>20</v>
      </c>
      <c r="B28" s="201" t="s">
        <v>612</v>
      </c>
      <c r="C28" s="774"/>
      <c r="D28" s="775"/>
      <c r="E28" s="775"/>
      <c r="F28" s="775"/>
      <c r="G28" s="775"/>
      <c r="H28" s="775"/>
      <c r="I28" s="775"/>
      <c r="J28" s="775"/>
      <c r="K28" s="776"/>
    </row>
    <row r="29" spans="1:11" ht="12.75">
      <c r="A29" s="201">
        <f t="shared" si="0"/>
        <v>21</v>
      </c>
      <c r="B29" s="201" t="s">
        <v>613</v>
      </c>
      <c r="C29" s="774"/>
      <c r="D29" s="775"/>
      <c r="E29" s="775"/>
      <c r="F29" s="775"/>
      <c r="G29" s="775"/>
      <c r="H29" s="775"/>
      <c r="I29" s="775"/>
      <c r="J29" s="775"/>
      <c r="K29" s="776"/>
    </row>
    <row r="30" spans="1:11" ht="12.75">
      <c r="A30" s="201">
        <f t="shared" si="0"/>
        <v>22</v>
      </c>
      <c r="B30" s="201" t="s">
        <v>614</v>
      </c>
      <c r="C30" s="774"/>
      <c r="D30" s="775"/>
      <c r="E30" s="775"/>
      <c r="F30" s="775"/>
      <c r="G30" s="775"/>
      <c r="H30" s="775"/>
      <c r="I30" s="775"/>
      <c r="J30" s="775"/>
      <c r="K30" s="776"/>
    </row>
    <row r="31" spans="1:11" ht="12.75">
      <c r="A31" s="201">
        <f t="shared" si="0"/>
        <v>23</v>
      </c>
      <c r="B31" s="201" t="s">
        <v>615</v>
      </c>
      <c r="C31" s="774"/>
      <c r="D31" s="775"/>
      <c r="E31" s="775"/>
      <c r="F31" s="775"/>
      <c r="G31" s="775"/>
      <c r="H31" s="775"/>
      <c r="I31" s="775"/>
      <c r="J31" s="775"/>
      <c r="K31" s="776"/>
    </row>
    <row r="32" spans="1:11" ht="12.75">
      <c r="A32" s="201">
        <f t="shared" si="0"/>
        <v>24</v>
      </c>
      <c r="B32" s="201" t="s">
        <v>616</v>
      </c>
      <c r="C32" s="774"/>
      <c r="D32" s="775"/>
      <c r="E32" s="775"/>
      <c r="F32" s="775"/>
      <c r="G32" s="775"/>
      <c r="H32" s="775"/>
      <c r="I32" s="775"/>
      <c r="J32" s="775"/>
      <c r="K32" s="776"/>
    </row>
    <row r="33" spans="1:13" ht="12.75">
      <c r="A33" s="201">
        <f t="shared" si="0"/>
        <v>25</v>
      </c>
      <c r="B33" s="201" t="s">
        <v>617</v>
      </c>
      <c r="C33" s="774"/>
      <c r="D33" s="775"/>
      <c r="E33" s="775"/>
      <c r="F33" s="775"/>
      <c r="G33" s="775"/>
      <c r="H33" s="775"/>
      <c r="I33" s="775"/>
      <c r="J33" s="775"/>
      <c r="K33" s="776"/>
      <c r="M33" s="6" t="s">
        <v>11</v>
      </c>
    </row>
    <row r="34" spans="1:11" ht="12.75">
      <c r="A34" s="201">
        <f t="shared" si="0"/>
        <v>26</v>
      </c>
      <c r="B34" s="201" t="s">
        <v>618</v>
      </c>
      <c r="C34" s="774"/>
      <c r="D34" s="775"/>
      <c r="E34" s="775"/>
      <c r="F34" s="775"/>
      <c r="G34" s="775"/>
      <c r="H34" s="775"/>
      <c r="I34" s="775"/>
      <c r="J34" s="775"/>
      <c r="K34" s="776"/>
    </row>
    <row r="35" spans="1:11" ht="12.75">
      <c r="A35" s="201">
        <f t="shared" si="0"/>
        <v>27</v>
      </c>
      <c r="B35" s="201" t="s">
        <v>619</v>
      </c>
      <c r="C35" s="774"/>
      <c r="D35" s="775"/>
      <c r="E35" s="775"/>
      <c r="F35" s="775"/>
      <c r="G35" s="775"/>
      <c r="H35" s="775"/>
      <c r="I35" s="775"/>
      <c r="J35" s="775"/>
      <c r="K35" s="776"/>
    </row>
    <row r="36" spans="1:11" ht="12.75">
      <c r="A36" s="201">
        <f t="shared" si="0"/>
        <v>28</v>
      </c>
      <c r="B36" s="143" t="s">
        <v>620</v>
      </c>
      <c r="C36" s="774"/>
      <c r="D36" s="775"/>
      <c r="E36" s="775"/>
      <c r="F36" s="775"/>
      <c r="G36" s="775"/>
      <c r="H36" s="775"/>
      <c r="I36" s="775"/>
      <c r="J36" s="775"/>
      <c r="K36" s="776"/>
    </row>
    <row r="37" spans="1:11" ht="12.75">
      <c r="A37" s="201">
        <f t="shared" si="0"/>
        <v>29</v>
      </c>
      <c r="B37" s="143" t="s">
        <v>621</v>
      </c>
      <c r="C37" s="774"/>
      <c r="D37" s="775"/>
      <c r="E37" s="775"/>
      <c r="F37" s="775"/>
      <c r="G37" s="775"/>
      <c r="H37" s="775"/>
      <c r="I37" s="775"/>
      <c r="J37" s="775"/>
      <c r="K37" s="776"/>
    </row>
    <row r="38" spans="1:11" ht="12.75">
      <c r="A38" s="201">
        <f t="shared" si="0"/>
        <v>30</v>
      </c>
      <c r="B38" s="143" t="s">
        <v>622</v>
      </c>
      <c r="C38" s="774"/>
      <c r="D38" s="775"/>
      <c r="E38" s="775"/>
      <c r="F38" s="775"/>
      <c r="G38" s="775"/>
      <c r="H38" s="775"/>
      <c r="I38" s="775"/>
      <c r="J38" s="775"/>
      <c r="K38" s="776"/>
    </row>
    <row r="39" spans="1:11" ht="12.75">
      <c r="A39" s="201">
        <f t="shared" si="0"/>
        <v>31</v>
      </c>
      <c r="B39" s="143" t="s">
        <v>623</v>
      </c>
      <c r="C39" s="774"/>
      <c r="D39" s="775"/>
      <c r="E39" s="775"/>
      <c r="F39" s="775"/>
      <c r="G39" s="775"/>
      <c r="H39" s="775"/>
      <c r="I39" s="775"/>
      <c r="J39" s="775"/>
      <c r="K39" s="776"/>
    </row>
    <row r="40" spans="1:11" ht="12.75">
      <c r="A40" s="150"/>
      <c r="B40" s="150" t="s">
        <v>624</v>
      </c>
      <c r="C40" s="777"/>
      <c r="D40" s="778"/>
      <c r="E40" s="778"/>
      <c r="F40" s="778"/>
      <c r="G40" s="778"/>
      <c r="H40" s="778"/>
      <c r="I40" s="778"/>
      <c r="J40" s="778"/>
      <c r="K40" s="779"/>
    </row>
    <row r="44" spans="8:11" ht="15.75">
      <c r="H44" s="621" t="s">
        <v>860</v>
      </c>
      <c r="I44" s="621"/>
      <c r="J44" s="621"/>
      <c r="K44" s="621"/>
    </row>
    <row r="45" spans="8:11" ht="15.75">
      <c r="H45" s="621" t="s">
        <v>653</v>
      </c>
      <c r="I45" s="621"/>
      <c r="J45" s="621"/>
      <c r="K45" s="621"/>
    </row>
  </sheetData>
  <sheetProtection/>
  <mergeCells count="13">
    <mergeCell ref="F6:H6"/>
    <mergeCell ref="A4:K4"/>
    <mergeCell ref="A2:K2"/>
    <mergeCell ref="H44:K44"/>
    <mergeCell ref="H45:K45"/>
    <mergeCell ref="A1:H1"/>
    <mergeCell ref="K6:K7"/>
    <mergeCell ref="I6:I7"/>
    <mergeCell ref="J6:J7"/>
    <mergeCell ref="C9:K40"/>
    <mergeCell ref="A6:A7"/>
    <mergeCell ref="B6:B7"/>
    <mergeCell ref="C6:E6"/>
  </mergeCells>
  <printOptions horizontalCentered="1"/>
  <pageMargins left="0.46" right="0.44" top="0.47" bottom="0" header="0.31496062992125984" footer="0.31496062992125984"/>
  <pageSetup fitToHeight="1" fitToWidth="1" horizontalDpi="600" verticalDpi="600" orientation="landscape" paperSize="9" scale="8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55" zoomScaleNormal="70" zoomScaleSheetLayoutView="55" zoomScalePageLayoutView="0" workbookViewId="0" topLeftCell="A4">
      <selection activeCell="P23" sqref="P23"/>
    </sheetView>
  </sheetViews>
  <sheetFormatPr defaultColWidth="9.140625" defaultRowHeight="12.75"/>
  <cols>
    <col min="1" max="1" width="7.421875" style="6" customWidth="1"/>
    <col min="2" max="2" width="18.140625" style="6" customWidth="1"/>
    <col min="3" max="4" width="12.7109375" style="6" customWidth="1"/>
    <col min="5" max="5" width="14.421875" style="6" customWidth="1"/>
    <col min="6" max="6" width="17.00390625" style="6" customWidth="1"/>
    <col min="7" max="7" width="14.140625" style="6" customWidth="1"/>
    <col min="8" max="8" width="17.00390625" style="6" customWidth="1"/>
    <col min="9" max="9" width="13.00390625" style="6" customWidth="1"/>
    <col min="10" max="10" width="17.00390625" style="6" customWidth="1"/>
    <col min="11" max="11" width="11.28125" style="6" customWidth="1"/>
    <col min="12" max="12" width="19.28125" style="6" customWidth="1"/>
    <col min="13" max="16384" width="9.140625" style="6" customWidth="1"/>
  </cols>
  <sheetData>
    <row r="1" spans="1:12" ht="15">
      <c r="A1" s="193"/>
      <c r="B1" s="193"/>
      <c r="C1" s="193"/>
      <c r="D1" s="193"/>
      <c r="E1" s="193"/>
      <c r="F1" s="193"/>
      <c r="G1" s="193"/>
      <c r="H1" s="193"/>
      <c r="K1" s="641" t="s">
        <v>82</v>
      </c>
      <c r="L1" s="641"/>
    </row>
    <row r="2" spans="1:12" ht="15.75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ht="20.25">
      <c r="A3" s="623" t="s">
        <v>695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5.75">
      <c r="A5" s="638" t="s">
        <v>730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</row>
    <row r="6" spans="1:12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2.75">
      <c r="A7" s="559" t="s">
        <v>672</v>
      </c>
      <c r="B7" s="559"/>
      <c r="C7" s="193"/>
      <c r="D7" s="193"/>
      <c r="E7" s="193"/>
      <c r="F7" s="193"/>
      <c r="G7" s="193"/>
      <c r="H7" s="135"/>
      <c r="I7" s="193"/>
      <c r="J7" s="193"/>
      <c r="K7" s="193"/>
      <c r="L7" s="193"/>
    </row>
    <row r="8" spans="1:12" ht="18">
      <c r="A8" s="41"/>
      <c r="B8" s="41"/>
      <c r="C8" s="193"/>
      <c r="D8" s="193"/>
      <c r="E8" s="193"/>
      <c r="F8" s="193"/>
      <c r="G8" s="193"/>
      <c r="H8" s="193"/>
      <c r="I8" s="55"/>
      <c r="J8" s="164"/>
      <c r="K8" s="656" t="s">
        <v>750</v>
      </c>
      <c r="L8" s="656"/>
    </row>
    <row r="9" spans="1:12" ht="27.75" customHeight="1">
      <c r="A9" s="782" t="s">
        <v>216</v>
      </c>
      <c r="B9" s="782" t="s">
        <v>215</v>
      </c>
      <c r="C9" s="530" t="s">
        <v>485</v>
      </c>
      <c r="D9" s="530" t="s">
        <v>486</v>
      </c>
      <c r="E9" s="780" t="s">
        <v>487</v>
      </c>
      <c r="F9" s="780"/>
      <c r="G9" s="780" t="s">
        <v>442</v>
      </c>
      <c r="H9" s="780"/>
      <c r="I9" s="780" t="s">
        <v>226</v>
      </c>
      <c r="J9" s="780"/>
      <c r="K9" s="781" t="s">
        <v>227</v>
      </c>
      <c r="L9" s="781"/>
    </row>
    <row r="10" spans="1:12" ht="25.5">
      <c r="A10" s="783"/>
      <c r="B10" s="783"/>
      <c r="C10" s="530"/>
      <c r="D10" s="530"/>
      <c r="E10" s="1" t="s">
        <v>214</v>
      </c>
      <c r="F10" s="1" t="s">
        <v>196</v>
      </c>
      <c r="G10" s="1" t="s">
        <v>214</v>
      </c>
      <c r="H10" s="1" t="s">
        <v>196</v>
      </c>
      <c r="I10" s="1" t="s">
        <v>214</v>
      </c>
      <c r="J10" s="1" t="s">
        <v>196</v>
      </c>
      <c r="K10" s="1" t="s">
        <v>214</v>
      </c>
      <c r="L10" s="1" t="s">
        <v>196</v>
      </c>
    </row>
    <row r="11" spans="1:12" s="5" customFormat="1" ht="12.75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  <c r="H11" s="179">
        <v>8</v>
      </c>
      <c r="I11" s="179">
        <v>9</v>
      </c>
      <c r="J11" s="179">
        <v>10</v>
      </c>
      <c r="K11" s="179">
        <v>11</v>
      </c>
      <c r="L11" s="179">
        <v>12</v>
      </c>
    </row>
    <row r="12" spans="1:12" s="5" customFormat="1" ht="12.75">
      <c r="A12" s="201">
        <v>1</v>
      </c>
      <c r="B12" s="201" t="s">
        <v>633</v>
      </c>
      <c r="C12" s="311">
        <v>1152</v>
      </c>
      <c r="D12" s="311">
        <v>58050</v>
      </c>
      <c r="E12" s="311">
        <v>629</v>
      </c>
      <c r="F12" s="311">
        <v>30154</v>
      </c>
      <c r="G12" s="311">
        <v>649</v>
      </c>
      <c r="H12" s="311">
        <v>32151</v>
      </c>
      <c r="I12" s="311">
        <v>649</v>
      </c>
      <c r="J12" s="311">
        <v>33253</v>
      </c>
      <c r="K12" s="311">
        <v>0</v>
      </c>
      <c r="L12" s="311">
        <v>0</v>
      </c>
    </row>
    <row r="13" spans="1:12" s="5" customFormat="1" ht="12.75">
      <c r="A13" s="201">
        <f>A12+1</f>
        <v>2</v>
      </c>
      <c r="B13" s="201" t="s">
        <v>598</v>
      </c>
      <c r="C13" s="311">
        <v>1313</v>
      </c>
      <c r="D13" s="311">
        <v>62808</v>
      </c>
      <c r="E13" s="311">
        <v>956</v>
      </c>
      <c r="F13" s="311">
        <v>11457</v>
      </c>
      <c r="G13" s="311">
        <v>1007</v>
      </c>
      <c r="H13" s="311">
        <v>16908</v>
      </c>
      <c r="I13" s="311">
        <v>996</v>
      </c>
      <c r="J13" s="311">
        <v>9955</v>
      </c>
      <c r="K13" s="311">
        <v>0</v>
      </c>
      <c r="L13" s="311">
        <v>0</v>
      </c>
    </row>
    <row r="14" spans="1:12" s="5" customFormat="1" ht="12.75">
      <c r="A14" s="201">
        <f aca="true" t="shared" si="0" ref="A14:A42">A13+1</f>
        <v>3</v>
      </c>
      <c r="B14" s="201" t="s">
        <v>634</v>
      </c>
      <c r="C14" s="311">
        <v>883</v>
      </c>
      <c r="D14" s="311">
        <v>130308</v>
      </c>
      <c r="E14" s="311">
        <v>883</v>
      </c>
      <c r="F14" s="311">
        <v>71886</v>
      </c>
      <c r="G14" s="311">
        <v>883</v>
      </c>
      <c r="H14" s="311">
        <v>71886</v>
      </c>
      <c r="I14" s="311">
        <v>883</v>
      </c>
      <c r="J14" s="311">
        <v>71886</v>
      </c>
      <c r="K14" s="311">
        <v>883</v>
      </c>
      <c r="L14" s="311">
        <v>4834</v>
      </c>
    </row>
    <row r="15" spans="1:12" s="5" customFormat="1" ht="12.75">
      <c r="A15" s="201">
        <f t="shared" si="0"/>
        <v>4</v>
      </c>
      <c r="B15" s="201" t="s">
        <v>599</v>
      </c>
      <c r="C15" s="311">
        <v>805</v>
      </c>
      <c r="D15" s="311">
        <v>48962</v>
      </c>
      <c r="E15" s="311">
        <v>805</v>
      </c>
      <c r="F15" s="311">
        <v>48962</v>
      </c>
      <c r="G15" s="311">
        <v>805</v>
      </c>
      <c r="H15" s="311">
        <v>48962</v>
      </c>
      <c r="I15" s="311">
        <v>805</v>
      </c>
      <c r="J15" s="311">
        <v>48962</v>
      </c>
      <c r="K15" s="311">
        <v>0</v>
      </c>
      <c r="L15" s="311">
        <v>0</v>
      </c>
    </row>
    <row r="16" spans="1:12" s="5" customFormat="1" ht="12.75">
      <c r="A16" s="201">
        <f t="shared" si="0"/>
        <v>5</v>
      </c>
      <c r="B16" s="201" t="s">
        <v>600</v>
      </c>
      <c r="C16" s="311">
        <v>524</v>
      </c>
      <c r="D16" s="311">
        <v>31560</v>
      </c>
      <c r="E16" s="311">
        <v>524</v>
      </c>
      <c r="F16" s="311">
        <v>25713</v>
      </c>
      <c r="G16" s="311">
        <v>499</v>
      </c>
      <c r="H16" s="311">
        <v>15680</v>
      </c>
      <c r="I16" s="311">
        <v>524</v>
      </c>
      <c r="J16" s="311">
        <v>31560</v>
      </c>
      <c r="K16" s="311">
        <v>0</v>
      </c>
      <c r="L16" s="311">
        <v>335</v>
      </c>
    </row>
    <row r="17" spans="1:12" s="5" customFormat="1" ht="12.75">
      <c r="A17" s="201">
        <f t="shared" si="0"/>
        <v>6</v>
      </c>
      <c r="B17" s="201" t="s">
        <v>601</v>
      </c>
      <c r="C17" s="311">
        <v>826</v>
      </c>
      <c r="D17" s="311">
        <v>35811</v>
      </c>
      <c r="E17" s="311">
        <v>826</v>
      </c>
      <c r="F17" s="311">
        <v>35858</v>
      </c>
      <c r="G17" s="311">
        <v>826</v>
      </c>
      <c r="H17" s="311">
        <v>17911</v>
      </c>
      <c r="I17" s="311">
        <v>826</v>
      </c>
      <c r="J17" s="311">
        <v>17911</v>
      </c>
      <c r="K17" s="311">
        <v>7</v>
      </c>
      <c r="L17" s="311">
        <v>0</v>
      </c>
    </row>
    <row r="18" spans="1:12" s="5" customFormat="1" ht="12.75">
      <c r="A18" s="201">
        <f t="shared" si="0"/>
        <v>7</v>
      </c>
      <c r="B18" s="201" t="s">
        <v>602</v>
      </c>
      <c r="C18" s="311">
        <v>466</v>
      </c>
      <c r="D18" s="311">
        <v>56442</v>
      </c>
      <c r="E18" s="311">
        <v>466</v>
      </c>
      <c r="F18" s="311">
        <v>53164</v>
      </c>
      <c r="G18" s="311">
        <v>466</v>
      </c>
      <c r="H18" s="311">
        <v>51520</v>
      </c>
      <c r="I18" s="311">
        <v>466</v>
      </c>
      <c r="J18" s="311">
        <v>51308</v>
      </c>
      <c r="K18" s="311">
        <v>162</v>
      </c>
      <c r="L18" s="311">
        <v>75</v>
      </c>
    </row>
    <row r="19" spans="1:12" s="5" customFormat="1" ht="12.75">
      <c r="A19" s="201">
        <f t="shared" si="0"/>
        <v>8</v>
      </c>
      <c r="B19" s="201" t="s">
        <v>603</v>
      </c>
      <c r="C19" s="311">
        <v>1014</v>
      </c>
      <c r="D19" s="311">
        <v>72346</v>
      </c>
      <c r="E19" s="311">
        <v>1014</v>
      </c>
      <c r="F19" s="311">
        <v>61494</v>
      </c>
      <c r="G19" s="311">
        <v>1014</v>
      </c>
      <c r="H19" s="311">
        <v>67828</v>
      </c>
      <c r="I19" s="311">
        <v>1014</v>
      </c>
      <c r="J19" s="311">
        <v>58419</v>
      </c>
      <c r="K19" s="311">
        <v>347</v>
      </c>
      <c r="L19" s="311">
        <v>1112</v>
      </c>
    </row>
    <row r="20" spans="1:12" s="5" customFormat="1" ht="12.75">
      <c r="A20" s="201">
        <f t="shared" si="0"/>
        <v>9</v>
      </c>
      <c r="B20" s="201" t="s">
        <v>604</v>
      </c>
      <c r="C20" s="311">
        <v>685</v>
      </c>
      <c r="D20" s="311">
        <v>36190</v>
      </c>
      <c r="E20" s="311">
        <v>517</v>
      </c>
      <c r="F20" s="311">
        <v>27401</v>
      </c>
      <c r="G20" s="311">
        <v>556</v>
      </c>
      <c r="H20" s="311">
        <v>29658</v>
      </c>
      <c r="I20" s="311">
        <v>1014</v>
      </c>
      <c r="J20" s="311">
        <v>28691</v>
      </c>
      <c r="K20" s="311">
        <v>0</v>
      </c>
      <c r="L20" s="311">
        <v>0</v>
      </c>
    </row>
    <row r="21" spans="1:12" s="5" customFormat="1" ht="12.75">
      <c r="A21" s="201">
        <f t="shared" si="0"/>
        <v>10</v>
      </c>
      <c r="B21" s="201" t="s">
        <v>605</v>
      </c>
      <c r="C21" s="311">
        <v>1259</v>
      </c>
      <c r="D21" s="311">
        <v>75130</v>
      </c>
      <c r="E21" s="311">
        <v>1032</v>
      </c>
      <c r="F21" s="311">
        <v>60667</v>
      </c>
      <c r="G21" s="311">
        <v>825</v>
      </c>
      <c r="H21" s="311">
        <v>51337</v>
      </c>
      <c r="I21" s="311">
        <v>1241</v>
      </c>
      <c r="J21" s="311">
        <v>51839</v>
      </c>
      <c r="K21" s="311">
        <v>496</v>
      </c>
      <c r="L21" s="311">
        <v>2549</v>
      </c>
    </row>
    <row r="22" spans="1:12" s="5" customFormat="1" ht="12.75">
      <c r="A22" s="201">
        <f t="shared" si="0"/>
        <v>11</v>
      </c>
      <c r="B22" s="201" t="s">
        <v>635</v>
      </c>
      <c r="C22" s="311">
        <v>1039</v>
      </c>
      <c r="D22" s="311">
        <v>43994</v>
      </c>
      <c r="E22" s="311">
        <v>880</v>
      </c>
      <c r="F22" s="311">
        <v>41217</v>
      </c>
      <c r="G22" s="311">
        <v>788</v>
      </c>
      <c r="H22" s="311">
        <v>37844</v>
      </c>
      <c r="I22" s="311">
        <v>853</v>
      </c>
      <c r="J22" s="311">
        <v>39794</v>
      </c>
      <c r="K22" s="311">
        <v>64</v>
      </c>
      <c r="L22" s="311">
        <v>307</v>
      </c>
    </row>
    <row r="23" spans="1:12" s="5" customFormat="1" ht="12.75">
      <c r="A23" s="201">
        <f t="shared" si="0"/>
        <v>12</v>
      </c>
      <c r="B23" s="201" t="s">
        <v>606</v>
      </c>
      <c r="C23" s="311">
        <v>927</v>
      </c>
      <c r="D23" s="311">
        <v>45233</v>
      </c>
      <c r="E23" s="311">
        <v>927</v>
      </c>
      <c r="F23" s="311">
        <v>39357</v>
      </c>
      <c r="G23" s="311">
        <v>927</v>
      </c>
      <c r="H23" s="311">
        <v>38547</v>
      </c>
      <c r="I23" s="311">
        <v>927</v>
      </c>
      <c r="J23" s="311">
        <v>39773</v>
      </c>
      <c r="K23" s="311">
        <v>0</v>
      </c>
      <c r="L23" s="311">
        <v>0</v>
      </c>
    </row>
    <row r="24" spans="1:12" s="5" customFormat="1" ht="12.75">
      <c r="A24" s="201">
        <f t="shared" si="0"/>
        <v>13</v>
      </c>
      <c r="B24" s="201" t="s">
        <v>607</v>
      </c>
      <c r="C24" s="311">
        <v>1340</v>
      </c>
      <c r="D24" s="311">
        <v>123777</v>
      </c>
      <c r="E24" s="311">
        <v>672</v>
      </c>
      <c r="F24" s="311">
        <v>68728</v>
      </c>
      <c r="G24" s="311">
        <v>1389</v>
      </c>
      <c r="H24" s="311">
        <v>133138</v>
      </c>
      <c r="I24" s="311">
        <v>1340</v>
      </c>
      <c r="J24" s="311">
        <v>160736</v>
      </c>
      <c r="K24" s="311">
        <v>1011</v>
      </c>
      <c r="L24" s="311">
        <v>372</v>
      </c>
    </row>
    <row r="25" spans="1:12" s="5" customFormat="1" ht="12.75">
      <c r="A25" s="201">
        <f t="shared" si="0"/>
        <v>14</v>
      </c>
      <c r="B25" s="201" t="s">
        <v>636</v>
      </c>
      <c r="C25" s="311">
        <v>769</v>
      </c>
      <c r="D25" s="311">
        <v>40642</v>
      </c>
      <c r="E25" s="311">
        <v>614</v>
      </c>
      <c r="F25" s="311">
        <v>32515</v>
      </c>
      <c r="G25" s="311">
        <v>460</v>
      </c>
      <c r="H25" s="311">
        <v>24386</v>
      </c>
      <c r="I25" s="311">
        <v>769</v>
      </c>
      <c r="J25" s="311">
        <v>40642</v>
      </c>
      <c r="K25" s="311">
        <v>0</v>
      </c>
      <c r="L25" s="311">
        <v>0</v>
      </c>
    </row>
    <row r="26" spans="1:12" s="5" customFormat="1" ht="12.75">
      <c r="A26" s="201">
        <f t="shared" si="0"/>
        <v>15</v>
      </c>
      <c r="B26" s="201" t="s">
        <v>608</v>
      </c>
      <c r="C26" s="311">
        <v>910</v>
      </c>
      <c r="D26" s="311">
        <v>67992</v>
      </c>
      <c r="E26" s="311">
        <v>910</v>
      </c>
      <c r="F26" s="311">
        <v>56609</v>
      </c>
      <c r="G26" s="311">
        <v>720</v>
      </c>
      <c r="H26" s="311">
        <v>31843</v>
      </c>
      <c r="I26" s="311">
        <v>910</v>
      </c>
      <c r="J26" s="311">
        <v>67992</v>
      </c>
      <c r="K26" s="311">
        <v>270</v>
      </c>
      <c r="L26" s="311">
        <v>1228</v>
      </c>
    </row>
    <row r="27" spans="1:12" s="5" customFormat="1" ht="12.75">
      <c r="A27" s="201">
        <f t="shared" si="0"/>
        <v>16</v>
      </c>
      <c r="B27" s="201" t="s">
        <v>609</v>
      </c>
      <c r="C27" s="311">
        <v>524</v>
      </c>
      <c r="D27" s="311">
        <v>70489</v>
      </c>
      <c r="E27" s="311">
        <v>524</v>
      </c>
      <c r="F27" s="311">
        <v>70489</v>
      </c>
      <c r="G27" s="311">
        <v>524</v>
      </c>
      <c r="H27" s="311">
        <v>70489</v>
      </c>
      <c r="I27" s="311">
        <v>524</v>
      </c>
      <c r="J27" s="311">
        <v>70489</v>
      </c>
      <c r="K27" s="311">
        <v>0</v>
      </c>
      <c r="L27" s="311">
        <v>0</v>
      </c>
    </row>
    <row r="28" spans="1:12" ht="12.75">
      <c r="A28" s="201">
        <f t="shared" si="0"/>
        <v>17</v>
      </c>
      <c r="B28" s="201" t="s">
        <v>610</v>
      </c>
      <c r="C28" s="311">
        <v>840</v>
      </c>
      <c r="D28" s="311">
        <v>57710</v>
      </c>
      <c r="E28" s="314">
        <v>672</v>
      </c>
      <c r="F28" s="314">
        <v>68728</v>
      </c>
      <c r="G28" s="314">
        <v>585</v>
      </c>
      <c r="H28" s="314">
        <v>47768</v>
      </c>
      <c r="I28" s="314">
        <v>585</v>
      </c>
      <c r="J28" s="314">
        <v>160736</v>
      </c>
      <c r="K28" s="314">
        <v>585</v>
      </c>
      <c r="L28" s="314">
        <v>372</v>
      </c>
    </row>
    <row r="29" spans="1:12" ht="12.75">
      <c r="A29" s="201">
        <f t="shared" si="0"/>
        <v>18</v>
      </c>
      <c r="B29" s="201" t="s">
        <v>611</v>
      </c>
      <c r="C29" s="311">
        <v>1427</v>
      </c>
      <c r="D29" s="311">
        <v>89173</v>
      </c>
      <c r="E29" s="314">
        <v>1396</v>
      </c>
      <c r="F29" s="314">
        <v>75975</v>
      </c>
      <c r="G29" s="314">
        <v>1394</v>
      </c>
      <c r="H29" s="314">
        <v>70313</v>
      </c>
      <c r="I29" s="314">
        <v>1361</v>
      </c>
      <c r="J29" s="314">
        <v>67147</v>
      </c>
      <c r="K29" s="314">
        <v>712</v>
      </c>
      <c r="L29" s="314">
        <v>662</v>
      </c>
    </row>
    <row r="30" spans="1:12" ht="12.75">
      <c r="A30" s="201">
        <f t="shared" si="0"/>
        <v>19</v>
      </c>
      <c r="B30" s="201" t="s">
        <v>637</v>
      </c>
      <c r="C30" s="311">
        <v>784</v>
      </c>
      <c r="D30" s="311">
        <v>45222</v>
      </c>
      <c r="E30" s="314">
        <v>544</v>
      </c>
      <c r="F30" s="314">
        <v>8145</v>
      </c>
      <c r="G30" s="314">
        <v>544</v>
      </c>
      <c r="H30" s="314">
        <v>5206</v>
      </c>
      <c r="I30" s="314">
        <v>544</v>
      </c>
      <c r="J30" s="314">
        <v>14760</v>
      </c>
      <c r="K30" s="314">
        <v>178</v>
      </c>
      <c r="L30" s="314">
        <v>50</v>
      </c>
    </row>
    <row r="31" spans="1:12" ht="12.75">
      <c r="A31" s="201">
        <f t="shared" si="0"/>
        <v>20</v>
      </c>
      <c r="B31" s="201" t="s">
        <v>612</v>
      </c>
      <c r="C31" s="311">
        <v>1200</v>
      </c>
      <c r="D31" s="311">
        <v>90037</v>
      </c>
      <c r="E31" s="314">
        <v>1045</v>
      </c>
      <c r="F31" s="314">
        <v>80057</v>
      </c>
      <c r="G31" s="314">
        <v>999</v>
      </c>
      <c r="H31" s="314">
        <v>81498</v>
      </c>
      <c r="I31" s="314">
        <v>1200</v>
      </c>
      <c r="J31" s="314">
        <v>90037</v>
      </c>
      <c r="K31" s="314">
        <v>269</v>
      </c>
      <c r="L31" s="314">
        <v>1101</v>
      </c>
    </row>
    <row r="32" spans="1:12" ht="12.75">
      <c r="A32" s="201">
        <f t="shared" si="0"/>
        <v>21</v>
      </c>
      <c r="B32" s="201" t="s">
        <v>613</v>
      </c>
      <c r="C32" s="311">
        <v>554</v>
      </c>
      <c r="D32" s="311">
        <v>28044</v>
      </c>
      <c r="E32" s="314">
        <v>554</v>
      </c>
      <c r="F32" s="314">
        <v>22435</v>
      </c>
      <c r="G32" s="314">
        <v>554</v>
      </c>
      <c r="H32" s="314">
        <v>16826</v>
      </c>
      <c r="I32" s="314">
        <v>554</v>
      </c>
      <c r="J32" s="314">
        <v>25239</v>
      </c>
      <c r="K32" s="314">
        <v>0</v>
      </c>
      <c r="L32" s="314">
        <v>0</v>
      </c>
    </row>
    <row r="33" spans="1:12" ht="12.75">
      <c r="A33" s="201">
        <f t="shared" si="0"/>
        <v>22</v>
      </c>
      <c r="B33" s="201" t="s">
        <v>614</v>
      </c>
      <c r="C33" s="311">
        <v>500</v>
      </c>
      <c r="D33" s="311">
        <v>28527</v>
      </c>
      <c r="E33" s="314">
        <v>500</v>
      </c>
      <c r="F33" s="314">
        <v>26398</v>
      </c>
      <c r="G33" s="314">
        <v>500</v>
      </c>
      <c r="H33" s="314">
        <v>26398</v>
      </c>
      <c r="I33" s="314">
        <v>500</v>
      </c>
      <c r="J33" s="314">
        <v>26398</v>
      </c>
      <c r="K33" s="314">
        <v>0</v>
      </c>
      <c r="L33" s="314">
        <v>0</v>
      </c>
    </row>
    <row r="34" spans="1:12" ht="12.75">
      <c r="A34" s="201">
        <f t="shared" si="0"/>
        <v>23</v>
      </c>
      <c r="B34" s="201" t="s">
        <v>615</v>
      </c>
      <c r="C34" s="311">
        <v>1333</v>
      </c>
      <c r="D34" s="311">
        <v>126888</v>
      </c>
      <c r="E34" s="314">
        <v>649</v>
      </c>
      <c r="F34" s="314">
        <v>94148</v>
      </c>
      <c r="G34" s="314">
        <v>437</v>
      </c>
      <c r="H34" s="314">
        <v>63686</v>
      </c>
      <c r="I34" s="314">
        <v>1333</v>
      </c>
      <c r="J34" s="314">
        <v>126888</v>
      </c>
      <c r="K34" s="314">
        <v>663</v>
      </c>
      <c r="L34" s="314">
        <v>0</v>
      </c>
    </row>
    <row r="35" spans="1:12" ht="12.75">
      <c r="A35" s="201">
        <f t="shared" si="0"/>
        <v>24</v>
      </c>
      <c r="B35" s="201" t="s">
        <v>616</v>
      </c>
      <c r="C35" s="311">
        <v>1288</v>
      </c>
      <c r="D35" s="311">
        <v>98754</v>
      </c>
      <c r="E35" s="314">
        <v>1288</v>
      </c>
      <c r="F35" s="314">
        <v>74065</v>
      </c>
      <c r="G35" s="314">
        <v>1288</v>
      </c>
      <c r="H35" s="314">
        <v>74065</v>
      </c>
      <c r="I35" s="314">
        <v>632</v>
      </c>
      <c r="J35" s="314">
        <v>68300</v>
      </c>
      <c r="K35" s="314">
        <v>0</v>
      </c>
      <c r="L35" s="314">
        <v>0</v>
      </c>
    </row>
    <row r="36" spans="1:12" ht="12.75">
      <c r="A36" s="201">
        <f t="shared" si="0"/>
        <v>25</v>
      </c>
      <c r="B36" s="201" t="s">
        <v>617</v>
      </c>
      <c r="C36" s="311">
        <v>994</v>
      </c>
      <c r="D36" s="311">
        <v>67436</v>
      </c>
      <c r="E36" s="314">
        <v>989</v>
      </c>
      <c r="F36" s="314">
        <v>40007</v>
      </c>
      <c r="G36" s="314">
        <v>989</v>
      </c>
      <c r="H36" s="314">
        <v>40007</v>
      </c>
      <c r="I36" s="314">
        <v>989</v>
      </c>
      <c r="J36" s="314">
        <v>40007</v>
      </c>
      <c r="K36" s="314">
        <v>0</v>
      </c>
      <c r="L36" s="314">
        <v>0</v>
      </c>
    </row>
    <row r="37" spans="1:12" ht="12.75">
      <c r="A37" s="201">
        <f t="shared" si="0"/>
        <v>26</v>
      </c>
      <c r="B37" s="201" t="s">
        <v>618</v>
      </c>
      <c r="C37" s="311">
        <v>971</v>
      </c>
      <c r="D37" s="311">
        <v>54318</v>
      </c>
      <c r="E37" s="314">
        <v>971</v>
      </c>
      <c r="F37" s="314">
        <v>35306</v>
      </c>
      <c r="G37" s="314">
        <v>975</v>
      </c>
      <c r="H37" s="314">
        <v>31504</v>
      </c>
      <c r="I37" s="314">
        <v>975</v>
      </c>
      <c r="J37" s="314">
        <v>39108</v>
      </c>
      <c r="K37" s="314">
        <v>264</v>
      </c>
      <c r="L37" s="314">
        <v>285</v>
      </c>
    </row>
    <row r="38" spans="1:12" ht="12.75">
      <c r="A38" s="201">
        <f t="shared" si="0"/>
        <v>27</v>
      </c>
      <c r="B38" s="201" t="s">
        <v>619</v>
      </c>
      <c r="C38" s="311">
        <v>1034</v>
      </c>
      <c r="D38" s="311">
        <v>81361</v>
      </c>
      <c r="E38" s="314">
        <v>817</v>
      </c>
      <c r="F38" s="314">
        <v>64332</v>
      </c>
      <c r="G38" s="314">
        <v>879</v>
      </c>
      <c r="H38" s="314">
        <v>69213</v>
      </c>
      <c r="I38" s="314">
        <v>869</v>
      </c>
      <c r="J38" s="314">
        <v>68400</v>
      </c>
      <c r="K38" s="314">
        <v>0</v>
      </c>
      <c r="L38" s="314">
        <v>0</v>
      </c>
    </row>
    <row r="39" spans="1:12" ht="12.75">
      <c r="A39" s="201">
        <f t="shared" si="0"/>
        <v>28</v>
      </c>
      <c r="B39" s="143" t="s">
        <v>620</v>
      </c>
      <c r="C39" s="311">
        <v>514</v>
      </c>
      <c r="D39" s="311">
        <v>39730</v>
      </c>
      <c r="E39" s="251">
        <v>514</v>
      </c>
      <c r="F39" s="364">
        <v>34822</v>
      </c>
      <c r="G39" s="251">
        <v>514</v>
      </c>
      <c r="H39" s="364">
        <v>33397</v>
      </c>
      <c r="I39" s="251">
        <v>514</v>
      </c>
      <c r="J39" s="364">
        <v>31485</v>
      </c>
      <c r="K39" s="251">
        <v>531</v>
      </c>
      <c r="L39" s="364">
        <v>811</v>
      </c>
    </row>
    <row r="40" spans="1:12" ht="12.75">
      <c r="A40" s="201">
        <f t="shared" si="0"/>
        <v>29</v>
      </c>
      <c r="B40" s="143" t="s">
        <v>621</v>
      </c>
      <c r="C40" s="311">
        <v>654</v>
      </c>
      <c r="D40" s="311">
        <v>30851</v>
      </c>
      <c r="E40" s="314">
        <v>654</v>
      </c>
      <c r="F40" s="314">
        <v>24999</v>
      </c>
      <c r="G40" s="314">
        <v>654</v>
      </c>
      <c r="H40" s="314">
        <v>24023</v>
      </c>
      <c r="I40" s="314">
        <v>654</v>
      </c>
      <c r="J40" s="314">
        <v>23863</v>
      </c>
      <c r="K40" s="314">
        <v>626</v>
      </c>
      <c r="L40" s="314">
        <v>0</v>
      </c>
    </row>
    <row r="41" spans="1:12" ht="12.75">
      <c r="A41" s="201">
        <f t="shared" si="0"/>
        <v>30</v>
      </c>
      <c r="B41" s="143" t="s">
        <v>622</v>
      </c>
      <c r="C41" s="311">
        <v>525</v>
      </c>
      <c r="D41" s="311">
        <v>38090</v>
      </c>
      <c r="E41" s="314">
        <v>523</v>
      </c>
      <c r="F41" s="314">
        <v>35310</v>
      </c>
      <c r="G41" s="314">
        <v>523</v>
      </c>
      <c r="H41" s="314">
        <v>35310</v>
      </c>
      <c r="I41" s="314">
        <v>523</v>
      </c>
      <c r="J41" s="314">
        <v>35310</v>
      </c>
      <c r="K41" s="314">
        <v>0</v>
      </c>
      <c r="L41" s="314">
        <v>0</v>
      </c>
    </row>
    <row r="42" spans="1:12" ht="12.75">
      <c r="A42" s="201">
        <f t="shared" si="0"/>
        <v>31</v>
      </c>
      <c r="B42" s="143" t="s">
        <v>623</v>
      </c>
      <c r="C42" s="311">
        <v>678</v>
      </c>
      <c r="D42" s="311">
        <v>37993</v>
      </c>
      <c r="E42" s="314">
        <v>678</v>
      </c>
      <c r="F42" s="314">
        <v>29224</v>
      </c>
      <c r="G42" s="314">
        <v>306</v>
      </c>
      <c r="H42" s="314">
        <v>12898</v>
      </c>
      <c r="I42" s="314">
        <v>646</v>
      </c>
      <c r="J42" s="314">
        <v>36621</v>
      </c>
      <c r="K42" s="314">
        <v>85</v>
      </c>
      <c r="L42" s="314">
        <v>12</v>
      </c>
    </row>
    <row r="43" spans="1:12" ht="12.75">
      <c r="A43" s="150"/>
      <c r="B43" s="150" t="s">
        <v>624</v>
      </c>
      <c r="C43" s="285">
        <f>SUM(C12:C42)</f>
        <v>27732</v>
      </c>
      <c r="D43" s="285">
        <f aca="true" t="shared" si="1" ref="D43:L43">SUM(D12:D42)</f>
        <v>1913868</v>
      </c>
      <c r="E43" s="285">
        <f t="shared" si="1"/>
        <v>23973</v>
      </c>
      <c r="F43" s="285">
        <f t="shared" si="1"/>
        <v>1449622</v>
      </c>
      <c r="G43" s="285">
        <f t="shared" si="1"/>
        <v>23479</v>
      </c>
      <c r="H43" s="285">
        <f t="shared" si="1"/>
        <v>1372200</v>
      </c>
      <c r="I43" s="285">
        <f t="shared" si="1"/>
        <v>25620</v>
      </c>
      <c r="J43" s="285">
        <f t="shared" si="1"/>
        <v>1677509</v>
      </c>
      <c r="K43" s="285">
        <f t="shared" si="1"/>
        <v>7153</v>
      </c>
      <c r="L43" s="285">
        <f t="shared" si="1"/>
        <v>14105</v>
      </c>
    </row>
    <row r="44" spans="1:12" ht="12.75">
      <c r="A44" s="212"/>
      <c r="B44" s="212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5" spans="1:12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</row>
    <row r="46" spans="1:12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</row>
    <row r="49" spans="9:12" ht="15.75">
      <c r="I49" s="621" t="s">
        <v>860</v>
      </c>
      <c r="J49" s="621"/>
      <c r="K49" s="621"/>
      <c r="L49" s="621"/>
    </row>
    <row r="50" spans="9:12" ht="15.75">
      <c r="I50" s="621" t="s">
        <v>653</v>
      </c>
      <c r="J50" s="621"/>
      <c r="K50" s="621"/>
      <c r="L50" s="621"/>
    </row>
  </sheetData>
  <sheetProtection/>
  <mergeCells count="16">
    <mergeCell ref="K8:L8"/>
    <mergeCell ref="B9:B10"/>
    <mergeCell ref="A9:A10"/>
    <mergeCell ref="C9:C10"/>
    <mergeCell ref="A7:B7"/>
    <mergeCell ref="A5:L5"/>
    <mergeCell ref="A3:L3"/>
    <mergeCell ref="A2:L2"/>
    <mergeCell ref="I49:L49"/>
    <mergeCell ref="I50:L50"/>
    <mergeCell ref="K1:L1"/>
    <mergeCell ref="G9:H9"/>
    <mergeCell ref="D9:D10"/>
    <mergeCell ref="E9:F9"/>
    <mergeCell ref="I9:J9"/>
    <mergeCell ref="K9:L9"/>
  </mergeCells>
  <printOptions horizontalCentered="1"/>
  <pageMargins left="0.4" right="0.41" top="0.45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8.8515625" defaultRowHeight="12.75"/>
  <cols>
    <col min="1" max="1" width="11.140625" style="193" customWidth="1"/>
    <col min="2" max="2" width="19.140625" style="193" customWidth="1"/>
    <col min="3" max="3" width="20.57421875" style="193" customWidth="1"/>
    <col min="4" max="4" width="22.28125" style="193" customWidth="1"/>
    <col min="5" max="5" width="25.421875" style="193" customWidth="1"/>
    <col min="6" max="6" width="27.421875" style="193" customWidth="1"/>
    <col min="7" max="16384" width="8.8515625" style="193" customWidth="1"/>
  </cols>
  <sheetData>
    <row r="1" spans="4:6" ht="12.75" customHeight="1">
      <c r="D1" s="131"/>
      <c r="E1" s="131"/>
      <c r="F1" s="132" t="s">
        <v>94</v>
      </c>
    </row>
    <row r="2" spans="2:6" ht="15" customHeight="1">
      <c r="B2" s="622" t="s">
        <v>0</v>
      </c>
      <c r="C2" s="622"/>
      <c r="D2" s="622"/>
      <c r="E2" s="622"/>
      <c r="F2" s="622"/>
    </row>
    <row r="3" spans="2:6" ht="20.25">
      <c r="B3" s="623" t="s">
        <v>695</v>
      </c>
      <c r="C3" s="623"/>
      <c r="D3" s="623"/>
      <c r="E3" s="623"/>
      <c r="F3" s="623"/>
    </row>
    <row r="4" ht="11.25" customHeight="1"/>
    <row r="5" spans="1:6" ht="12.75">
      <c r="A5" s="785" t="s">
        <v>439</v>
      </c>
      <c r="B5" s="785"/>
      <c r="C5" s="785"/>
      <c r="D5" s="785"/>
      <c r="E5" s="785"/>
      <c r="F5" s="785"/>
    </row>
    <row r="6" spans="1:6" ht="8.25" customHeight="1">
      <c r="A6" s="40"/>
      <c r="B6" s="40"/>
      <c r="C6" s="40"/>
      <c r="D6" s="40"/>
      <c r="E6" s="40"/>
      <c r="F6" s="40"/>
    </row>
    <row r="7" spans="1:2" ht="18" customHeight="1">
      <c r="A7" s="559" t="s">
        <v>672</v>
      </c>
      <c r="B7" s="559"/>
    </row>
    <row r="8" ht="18" customHeight="1" hidden="1">
      <c r="A8" s="41" t="s">
        <v>1</v>
      </c>
    </row>
    <row r="9" spans="1:6" ht="30" customHeight="1">
      <c r="A9" s="782" t="s">
        <v>2</v>
      </c>
      <c r="B9" s="782" t="s">
        <v>3</v>
      </c>
      <c r="C9" s="786" t="s">
        <v>435</v>
      </c>
      <c r="D9" s="787"/>
      <c r="E9" s="788" t="s">
        <v>438</v>
      </c>
      <c r="F9" s="788"/>
    </row>
    <row r="10" spans="1:7" s="44" customFormat="1" ht="25.5">
      <c r="A10" s="782"/>
      <c r="B10" s="782"/>
      <c r="C10" s="179" t="s">
        <v>436</v>
      </c>
      <c r="D10" s="179" t="s">
        <v>437</v>
      </c>
      <c r="E10" s="179" t="s">
        <v>436</v>
      </c>
      <c r="F10" s="179" t="s">
        <v>437</v>
      </c>
      <c r="G10" s="59"/>
    </row>
    <row r="11" spans="1:6" ht="12.75">
      <c r="A11" s="77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</row>
    <row r="12" spans="1:6" ht="12.75">
      <c r="A12" s="201">
        <v>1</v>
      </c>
      <c r="B12" s="201" t="s">
        <v>633</v>
      </c>
      <c r="C12" s="77">
        <v>921</v>
      </c>
      <c r="D12" s="77">
        <v>921</v>
      </c>
      <c r="E12" s="77">
        <v>231</v>
      </c>
      <c r="F12" s="77">
        <v>231</v>
      </c>
    </row>
    <row r="13" spans="1:6" ht="12.75">
      <c r="A13" s="201">
        <f>A12+1</f>
        <v>2</v>
      </c>
      <c r="B13" s="201" t="s">
        <v>598</v>
      </c>
      <c r="C13" s="77">
        <v>1025</v>
      </c>
      <c r="D13" s="77">
        <v>1025</v>
      </c>
      <c r="E13" s="77">
        <v>288</v>
      </c>
      <c r="F13" s="77">
        <v>288</v>
      </c>
    </row>
    <row r="14" spans="1:6" ht="12.75">
      <c r="A14" s="201">
        <f aca="true" t="shared" si="0" ref="A14:A42">A13+1</f>
        <v>3</v>
      </c>
      <c r="B14" s="201" t="s">
        <v>634</v>
      </c>
      <c r="C14" s="77">
        <v>585</v>
      </c>
      <c r="D14" s="77">
        <v>585</v>
      </c>
      <c r="E14" s="77">
        <v>298</v>
      </c>
      <c r="F14" s="77">
        <v>298</v>
      </c>
    </row>
    <row r="15" spans="1:6" ht="12.75">
      <c r="A15" s="201">
        <f t="shared" si="0"/>
        <v>4</v>
      </c>
      <c r="B15" s="201" t="s">
        <v>599</v>
      </c>
      <c r="C15" s="77">
        <v>518</v>
      </c>
      <c r="D15" s="77">
        <v>518</v>
      </c>
      <c r="E15" s="77">
        <v>287</v>
      </c>
      <c r="F15" s="77">
        <v>287</v>
      </c>
    </row>
    <row r="16" spans="1:6" ht="12.75">
      <c r="A16" s="201">
        <f t="shared" si="0"/>
        <v>5</v>
      </c>
      <c r="B16" s="201" t="s">
        <v>600</v>
      </c>
      <c r="C16" s="77">
        <v>331</v>
      </c>
      <c r="D16" s="77">
        <v>331</v>
      </c>
      <c r="E16" s="77">
        <v>193</v>
      </c>
      <c r="F16" s="77">
        <v>193</v>
      </c>
    </row>
    <row r="17" spans="1:6" ht="12.75">
      <c r="A17" s="201">
        <f t="shared" si="0"/>
        <v>6</v>
      </c>
      <c r="B17" s="201" t="s">
        <v>601</v>
      </c>
      <c r="C17" s="77">
        <v>622</v>
      </c>
      <c r="D17" s="77">
        <v>622</v>
      </c>
      <c r="E17" s="77">
        <v>204</v>
      </c>
      <c r="F17" s="77">
        <v>204</v>
      </c>
    </row>
    <row r="18" spans="1:6" ht="12.75">
      <c r="A18" s="201">
        <f t="shared" si="0"/>
        <v>7</v>
      </c>
      <c r="B18" s="201" t="s">
        <v>602</v>
      </c>
      <c r="C18" s="77">
        <v>288</v>
      </c>
      <c r="D18" s="77">
        <v>288</v>
      </c>
      <c r="E18" s="77">
        <v>178</v>
      </c>
      <c r="F18" s="77">
        <v>178</v>
      </c>
    </row>
    <row r="19" spans="1:6" ht="12.75">
      <c r="A19" s="201">
        <f t="shared" si="0"/>
        <v>8</v>
      </c>
      <c r="B19" s="201" t="s">
        <v>603</v>
      </c>
      <c r="C19" s="77">
        <v>687</v>
      </c>
      <c r="D19" s="77">
        <v>687</v>
      </c>
      <c r="E19" s="77">
        <v>327</v>
      </c>
      <c r="F19" s="77">
        <v>327</v>
      </c>
    </row>
    <row r="20" spans="1:6" ht="12.75">
      <c r="A20" s="201">
        <f t="shared" si="0"/>
        <v>9</v>
      </c>
      <c r="B20" s="201" t="s">
        <v>604</v>
      </c>
      <c r="C20" s="77">
        <v>432</v>
      </c>
      <c r="D20" s="77">
        <v>432</v>
      </c>
      <c r="E20" s="77">
        <v>253</v>
      </c>
      <c r="F20" s="77">
        <v>253</v>
      </c>
    </row>
    <row r="21" spans="1:6" ht="12.75">
      <c r="A21" s="201">
        <f t="shared" si="0"/>
        <v>10</v>
      </c>
      <c r="B21" s="201" t="s">
        <v>605</v>
      </c>
      <c r="C21" s="77">
        <v>840</v>
      </c>
      <c r="D21" s="77">
        <v>840</v>
      </c>
      <c r="E21" s="77">
        <v>419</v>
      </c>
      <c r="F21" s="77">
        <v>419</v>
      </c>
    </row>
    <row r="22" spans="1:6" ht="12.75">
      <c r="A22" s="201">
        <f t="shared" si="0"/>
        <v>11</v>
      </c>
      <c r="B22" s="201" t="s">
        <v>635</v>
      </c>
      <c r="C22" s="77">
        <v>869</v>
      </c>
      <c r="D22" s="77">
        <v>869</v>
      </c>
      <c r="E22" s="77">
        <v>170</v>
      </c>
      <c r="F22" s="77">
        <v>170</v>
      </c>
    </row>
    <row r="23" spans="1:6" ht="12.75">
      <c r="A23" s="201">
        <f t="shared" si="0"/>
        <v>12</v>
      </c>
      <c r="B23" s="201" t="s">
        <v>606</v>
      </c>
      <c r="C23" s="77">
        <v>693</v>
      </c>
      <c r="D23" s="77">
        <v>693</v>
      </c>
      <c r="E23" s="77">
        <v>234</v>
      </c>
      <c r="F23" s="77">
        <v>234</v>
      </c>
    </row>
    <row r="24" spans="1:6" ht="12.75">
      <c r="A24" s="201">
        <f t="shared" si="0"/>
        <v>13</v>
      </c>
      <c r="B24" s="201" t="s">
        <v>607</v>
      </c>
      <c r="C24" s="77">
        <v>933</v>
      </c>
      <c r="D24" s="77">
        <v>933</v>
      </c>
      <c r="E24" s="77">
        <v>407</v>
      </c>
      <c r="F24" s="77">
        <v>407</v>
      </c>
    </row>
    <row r="25" spans="1:6" ht="12.75">
      <c r="A25" s="201">
        <f t="shared" si="0"/>
        <v>14</v>
      </c>
      <c r="B25" s="201" t="s">
        <v>636</v>
      </c>
      <c r="C25" s="77">
        <v>550</v>
      </c>
      <c r="D25" s="77">
        <v>550</v>
      </c>
      <c r="E25" s="77">
        <v>219</v>
      </c>
      <c r="F25" s="77">
        <v>219</v>
      </c>
    </row>
    <row r="26" spans="1:6" ht="12.75">
      <c r="A26" s="201">
        <f t="shared" si="0"/>
        <v>15</v>
      </c>
      <c r="B26" s="201" t="s">
        <v>608</v>
      </c>
      <c r="C26" s="77">
        <v>628</v>
      </c>
      <c r="D26" s="77">
        <v>628</v>
      </c>
      <c r="E26" s="77">
        <v>282</v>
      </c>
      <c r="F26" s="77">
        <v>282</v>
      </c>
    </row>
    <row r="27" spans="1:6" ht="12.75">
      <c r="A27" s="201">
        <f t="shared" si="0"/>
        <v>16</v>
      </c>
      <c r="B27" s="201" t="s">
        <v>609</v>
      </c>
      <c r="C27" s="77">
        <v>372</v>
      </c>
      <c r="D27" s="77">
        <v>372</v>
      </c>
      <c r="E27" s="77">
        <v>152</v>
      </c>
      <c r="F27" s="77">
        <v>152</v>
      </c>
    </row>
    <row r="28" spans="1:6" ht="12.75">
      <c r="A28" s="201">
        <f t="shared" si="0"/>
        <v>17</v>
      </c>
      <c r="B28" s="201" t="s">
        <v>610</v>
      </c>
      <c r="C28" s="77">
        <v>572</v>
      </c>
      <c r="D28" s="77">
        <v>572</v>
      </c>
      <c r="E28" s="77">
        <v>268</v>
      </c>
      <c r="F28" s="77">
        <v>268</v>
      </c>
    </row>
    <row r="29" spans="1:6" ht="12.75">
      <c r="A29" s="201">
        <f t="shared" si="0"/>
        <v>18</v>
      </c>
      <c r="B29" s="201" t="s">
        <v>611</v>
      </c>
      <c r="C29" s="77">
        <v>1038</v>
      </c>
      <c r="D29" s="77">
        <v>1038</v>
      </c>
      <c r="E29" s="77">
        <v>389</v>
      </c>
      <c r="F29" s="77">
        <v>389</v>
      </c>
    </row>
    <row r="30" spans="1:6" ht="12.75">
      <c r="A30" s="201">
        <f t="shared" si="0"/>
        <v>19</v>
      </c>
      <c r="B30" s="201" t="s">
        <v>637</v>
      </c>
      <c r="C30" s="77">
        <v>574</v>
      </c>
      <c r="D30" s="77">
        <v>574</v>
      </c>
      <c r="E30" s="77">
        <v>210</v>
      </c>
      <c r="F30" s="77">
        <v>210</v>
      </c>
    </row>
    <row r="31" spans="1:6" ht="12.75">
      <c r="A31" s="201">
        <f t="shared" si="0"/>
        <v>20</v>
      </c>
      <c r="B31" s="201" t="s">
        <v>612</v>
      </c>
      <c r="C31" s="77">
        <v>783</v>
      </c>
      <c r="D31" s="77">
        <v>783</v>
      </c>
      <c r="E31" s="77">
        <v>417</v>
      </c>
      <c r="F31" s="77">
        <v>417</v>
      </c>
    </row>
    <row r="32" spans="1:6" ht="12.75">
      <c r="A32" s="201">
        <f t="shared" si="0"/>
        <v>21</v>
      </c>
      <c r="B32" s="201" t="s">
        <v>613</v>
      </c>
      <c r="C32" s="77">
        <v>351</v>
      </c>
      <c r="D32" s="77">
        <v>351</v>
      </c>
      <c r="E32" s="77">
        <v>203</v>
      </c>
      <c r="F32" s="77">
        <v>203</v>
      </c>
    </row>
    <row r="33" spans="1:6" ht="12.75">
      <c r="A33" s="201">
        <f t="shared" si="0"/>
        <v>22</v>
      </c>
      <c r="B33" s="201" t="s">
        <v>614</v>
      </c>
      <c r="C33" s="77">
        <v>341</v>
      </c>
      <c r="D33" s="77">
        <v>341</v>
      </c>
      <c r="E33" s="77">
        <v>159</v>
      </c>
      <c r="F33" s="77">
        <v>159</v>
      </c>
    </row>
    <row r="34" spans="1:6" ht="12.75">
      <c r="A34" s="201">
        <f t="shared" si="0"/>
        <v>23</v>
      </c>
      <c r="B34" s="201" t="s">
        <v>615</v>
      </c>
      <c r="C34" s="77">
        <v>876</v>
      </c>
      <c r="D34" s="77">
        <v>876</v>
      </c>
      <c r="E34" s="77">
        <v>457</v>
      </c>
      <c r="F34" s="77">
        <v>457</v>
      </c>
    </row>
    <row r="35" spans="1:6" ht="12.75">
      <c r="A35" s="201">
        <f t="shared" si="0"/>
        <v>24</v>
      </c>
      <c r="B35" s="201" t="s">
        <v>616</v>
      </c>
      <c r="C35" s="77">
        <v>873</v>
      </c>
      <c r="D35" s="77">
        <v>873</v>
      </c>
      <c r="E35" s="77">
        <v>415</v>
      </c>
      <c r="F35" s="77">
        <v>415</v>
      </c>
    </row>
    <row r="36" spans="1:6" ht="12.75">
      <c r="A36" s="201">
        <f t="shared" si="0"/>
        <v>25</v>
      </c>
      <c r="B36" s="201" t="s">
        <v>617</v>
      </c>
      <c r="C36" s="77">
        <v>639</v>
      </c>
      <c r="D36" s="77">
        <v>639</v>
      </c>
      <c r="E36" s="77">
        <v>355</v>
      </c>
      <c r="F36" s="77">
        <v>355</v>
      </c>
    </row>
    <row r="37" spans="1:6" ht="12.75">
      <c r="A37" s="201">
        <f t="shared" si="0"/>
        <v>26</v>
      </c>
      <c r="B37" s="201" t="s">
        <v>618</v>
      </c>
      <c r="C37" s="77">
        <v>690</v>
      </c>
      <c r="D37" s="77">
        <v>690</v>
      </c>
      <c r="E37" s="77">
        <v>281</v>
      </c>
      <c r="F37" s="77">
        <v>281</v>
      </c>
    </row>
    <row r="38" spans="1:6" ht="12.75">
      <c r="A38" s="201">
        <f t="shared" si="0"/>
        <v>27</v>
      </c>
      <c r="B38" s="201" t="s">
        <v>619</v>
      </c>
      <c r="C38" s="77">
        <v>733</v>
      </c>
      <c r="D38" s="77">
        <v>733</v>
      </c>
      <c r="E38" s="77">
        <v>301</v>
      </c>
      <c r="F38" s="77">
        <v>301</v>
      </c>
    </row>
    <row r="39" spans="1:6" ht="12.75">
      <c r="A39" s="201">
        <f t="shared" si="0"/>
        <v>28</v>
      </c>
      <c r="B39" s="143" t="s">
        <v>620</v>
      </c>
      <c r="C39" s="77">
        <v>351</v>
      </c>
      <c r="D39" s="77">
        <v>351</v>
      </c>
      <c r="E39" s="77">
        <v>163</v>
      </c>
      <c r="F39" s="77">
        <v>163</v>
      </c>
    </row>
    <row r="40" spans="1:6" ht="12.75">
      <c r="A40" s="201">
        <f t="shared" si="0"/>
        <v>29</v>
      </c>
      <c r="B40" s="143" t="s">
        <v>621</v>
      </c>
      <c r="C40" s="77">
        <v>432</v>
      </c>
      <c r="D40" s="77">
        <v>432</v>
      </c>
      <c r="E40" s="77">
        <v>222</v>
      </c>
      <c r="F40" s="77">
        <v>222</v>
      </c>
    </row>
    <row r="41" spans="1:6" ht="12.75">
      <c r="A41" s="201">
        <f t="shared" si="0"/>
        <v>30</v>
      </c>
      <c r="B41" s="143" t="s">
        <v>622</v>
      </c>
      <c r="C41" s="77">
        <v>323</v>
      </c>
      <c r="D41" s="77">
        <v>323</v>
      </c>
      <c r="E41" s="77">
        <v>202</v>
      </c>
      <c r="F41" s="77">
        <v>202</v>
      </c>
    </row>
    <row r="42" spans="1:6" ht="12.75">
      <c r="A42" s="201">
        <f t="shared" si="0"/>
        <v>31</v>
      </c>
      <c r="B42" s="143" t="s">
        <v>623</v>
      </c>
      <c r="C42" s="77">
        <v>453</v>
      </c>
      <c r="D42" s="77">
        <v>453</v>
      </c>
      <c r="E42" s="77">
        <v>225</v>
      </c>
      <c r="F42" s="77">
        <v>225</v>
      </c>
    </row>
    <row r="43" spans="1:6" ht="12.75">
      <c r="A43" s="150"/>
      <c r="B43" s="150" t="s">
        <v>624</v>
      </c>
      <c r="C43" s="338">
        <f>SUM(C12:C42)</f>
        <v>19323</v>
      </c>
      <c r="D43" s="338">
        <f>SUM(D12:D42)</f>
        <v>19323</v>
      </c>
      <c r="E43" s="338">
        <f>SUM(E12:E42)</f>
        <v>8409</v>
      </c>
      <c r="F43" s="338">
        <f>SUM(F12:F42)</f>
        <v>8409</v>
      </c>
    </row>
    <row r="44" spans="1:6" ht="12.75">
      <c r="A44" s="43"/>
      <c r="B44" s="140"/>
      <c r="C44" s="140"/>
      <c r="D44" s="140"/>
      <c r="E44" s="140"/>
      <c r="F44" s="140"/>
    </row>
    <row r="45" ht="12.75">
      <c r="C45" s="193" t="s">
        <v>11</v>
      </c>
    </row>
    <row r="46" spans="1:6" ht="12.75">
      <c r="A46" s="784"/>
      <c r="B46" s="784"/>
      <c r="C46" s="784"/>
      <c r="D46" s="784"/>
      <c r="E46" s="784"/>
      <c r="F46" s="784"/>
    </row>
    <row r="47" spans="3:6" ht="15.75">
      <c r="C47" s="277"/>
      <c r="D47" s="621" t="s">
        <v>860</v>
      </c>
      <c r="E47" s="621"/>
      <c r="F47" s="621"/>
    </row>
    <row r="48" spans="4:6" ht="15.75">
      <c r="D48" s="621" t="s">
        <v>653</v>
      </c>
      <c r="E48" s="621"/>
      <c r="F48" s="621"/>
    </row>
  </sheetData>
  <sheetProtection/>
  <mergeCells count="11">
    <mergeCell ref="A7:B7"/>
    <mergeCell ref="D47:F47"/>
    <mergeCell ref="D48:F48"/>
    <mergeCell ref="A46:F46"/>
    <mergeCell ref="B3:F3"/>
    <mergeCell ref="B2:F2"/>
    <mergeCell ref="A5:F5"/>
    <mergeCell ref="C9:D9"/>
    <mergeCell ref="E9:F9"/>
    <mergeCell ref="A9:A10"/>
    <mergeCell ref="B9:B10"/>
  </mergeCells>
  <printOptions horizontalCentered="1"/>
  <pageMargins left="0.42" right="0.41" top="0.5" bottom="0" header="0.31496062992125984" footer="0.31496062992125984"/>
  <pageSetup fitToHeight="1" fitToWidth="1" horizontalDpi="600" verticalDpi="600" orientation="landscape" paperSize="9" scale="8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9.140625" style="6" customWidth="1"/>
    <col min="2" max="2" width="17.8515625" style="6" customWidth="1"/>
    <col min="3" max="3" width="16.421875" style="6" customWidth="1"/>
    <col min="4" max="4" width="10.8515625" style="6" customWidth="1"/>
    <col min="5" max="5" width="13.7109375" style="6" customWidth="1"/>
    <col min="6" max="6" width="14.28125" style="6" customWidth="1"/>
    <col min="7" max="7" width="11.421875" style="6" customWidth="1"/>
    <col min="8" max="8" width="12.28125" style="6" customWidth="1"/>
    <col min="9" max="9" width="16.28125" style="6" customWidth="1"/>
    <col min="10" max="10" width="19.28125" style="6" customWidth="1"/>
    <col min="11" max="16384" width="9.140625" style="6" customWidth="1"/>
  </cols>
  <sheetData>
    <row r="1" spans="1:13" ht="15">
      <c r="A1" s="193"/>
      <c r="B1" s="193"/>
      <c r="C1" s="193"/>
      <c r="D1" s="709"/>
      <c r="E1" s="709"/>
      <c r="F1" s="176"/>
      <c r="G1" s="709" t="s">
        <v>441</v>
      </c>
      <c r="H1" s="709"/>
      <c r="I1" s="709"/>
      <c r="J1" s="709"/>
      <c r="K1" s="45"/>
      <c r="L1" s="193"/>
      <c r="M1" s="193"/>
    </row>
    <row r="2" spans="1:13" ht="15.75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193"/>
      <c r="L2" s="193"/>
      <c r="M2" s="193"/>
    </row>
    <row r="3" spans="1:13" ht="18">
      <c r="A3" s="180"/>
      <c r="B3" s="180"/>
      <c r="C3" s="795" t="s">
        <v>695</v>
      </c>
      <c r="D3" s="795"/>
      <c r="E3" s="795"/>
      <c r="F3" s="795"/>
      <c r="G3" s="795"/>
      <c r="H3" s="795"/>
      <c r="I3" s="795"/>
      <c r="J3" s="180"/>
      <c r="K3" s="193"/>
      <c r="L3" s="193"/>
      <c r="M3" s="193"/>
    </row>
    <row r="4" spans="1:13" ht="15.75">
      <c r="A4" s="638" t="s">
        <v>440</v>
      </c>
      <c r="B4" s="638"/>
      <c r="C4" s="638"/>
      <c r="D4" s="638"/>
      <c r="E4" s="638"/>
      <c r="F4" s="638"/>
      <c r="G4" s="638"/>
      <c r="H4" s="638"/>
      <c r="I4" s="638"/>
      <c r="J4" s="638"/>
      <c r="K4" s="193"/>
      <c r="L4" s="193"/>
      <c r="M4" s="193"/>
    </row>
    <row r="5" spans="1:13" ht="15.75">
      <c r="A5" s="559" t="s">
        <v>672</v>
      </c>
      <c r="B5" s="559"/>
      <c r="C5" s="40"/>
      <c r="D5" s="40"/>
      <c r="E5" s="40"/>
      <c r="F5" s="40"/>
      <c r="G5" s="40"/>
      <c r="H5" s="40"/>
      <c r="I5" s="40"/>
      <c r="J5" s="40"/>
      <c r="K5" s="193"/>
      <c r="L5" s="193"/>
      <c r="M5" s="193"/>
    </row>
    <row r="6" spans="1:13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8">
      <c r="A7" s="41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13" ht="21.75" customHeight="1">
      <c r="A8" s="790" t="s">
        <v>2</v>
      </c>
      <c r="B8" s="790" t="s">
        <v>3</v>
      </c>
      <c r="C8" s="792" t="s">
        <v>136</v>
      </c>
      <c r="D8" s="793"/>
      <c r="E8" s="793"/>
      <c r="F8" s="793"/>
      <c r="G8" s="793"/>
      <c r="H8" s="793"/>
      <c r="I8" s="793"/>
      <c r="J8" s="794"/>
      <c r="K8" s="193"/>
      <c r="L8" s="193"/>
      <c r="M8" s="193"/>
    </row>
    <row r="9" spans="1:13" ht="39.75" customHeight="1">
      <c r="A9" s="791"/>
      <c r="B9" s="791"/>
      <c r="C9" s="179" t="s">
        <v>194</v>
      </c>
      <c r="D9" s="179" t="s">
        <v>116</v>
      </c>
      <c r="E9" s="179" t="s">
        <v>376</v>
      </c>
      <c r="F9" s="64" t="s">
        <v>162</v>
      </c>
      <c r="G9" s="64" t="s">
        <v>117</v>
      </c>
      <c r="H9" s="74" t="s">
        <v>193</v>
      </c>
      <c r="I9" s="74" t="s">
        <v>809</v>
      </c>
      <c r="J9" s="42" t="s">
        <v>16</v>
      </c>
      <c r="K9" s="44"/>
      <c r="L9" s="44"/>
      <c r="M9" s="44"/>
    </row>
    <row r="10" spans="1:13" s="5" customFormat="1" ht="12.75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81">
        <v>8</v>
      </c>
      <c r="I10" s="181">
        <v>9</v>
      </c>
      <c r="J10" s="42">
        <v>10</v>
      </c>
      <c r="K10" s="44"/>
      <c r="L10" s="44"/>
      <c r="M10" s="44"/>
    </row>
    <row r="11" spans="1:13" s="5" customFormat="1" ht="12.75">
      <c r="A11" s="201">
        <v>1</v>
      </c>
      <c r="B11" s="201" t="s">
        <v>633</v>
      </c>
      <c r="C11" s="311">
        <v>0</v>
      </c>
      <c r="D11" s="311">
        <v>1152</v>
      </c>
      <c r="E11" s="311">
        <v>0</v>
      </c>
      <c r="F11" s="311">
        <v>0</v>
      </c>
      <c r="G11" s="311">
        <v>0</v>
      </c>
      <c r="H11" s="312">
        <v>0</v>
      </c>
      <c r="I11" s="312">
        <v>0</v>
      </c>
      <c r="J11" s="313">
        <f>SUM(C11:I11)</f>
        <v>1152</v>
      </c>
      <c r="K11" s="44"/>
      <c r="L11" s="44"/>
      <c r="M11" s="44"/>
    </row>
    <row r="12" spans="1:13" s="5" customFormat="1" ht="12.75">
      <c r="A12" s="201">
        <f>A11+1</f>
        <v>2</v>
      </c>
      <c r="B12" s="201" t="s">
        <v>598</v>
      </c>
      <c r="C12" s="311">
        <v>0</v>
      </c>
      <c r="D12" s="311">
        <v>1313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3">
        <f aca="true" t="shared" si="0" ref="J12:J41">SUM(C12:I12)</f>
        <v>1313</v>
      </c>
      <c r="K12" s="44"/>
      <c r="L12" s="44"/>
      <c r="M12" s="44"/>
    </row>
    <row r="13" spans="1:13" s="5" customFormat="1" ht="12.75">
      <c r="A13" s="201">
        <f aca="true" t="shared" si="1" ref="A13:A41">A12+1</f>
        <v>3</v>
      </c>
      <c r="B13" s="201" t="s">
        <v>634</v>
      </c>
      <c r="C13" s="311">
        <v>0</v>
      </c>
      <c r="D13" s="311">
        <v>0</v>
      </c>
      <c r="E13" s="311">
        <v>0</v>
      </c>
      <c r="F13" s="311">
        <v>0</v>
      </c>
      <c r="G13" s="311">
        <v>0</v>
      </c>
      <c r="H13" s="312">
        <v>883</v>
      </c>
      <c r="I13" s="312">
        <v>0</v>
      </c>
      <c r="J13" s="313">
        <f t="shared" si="0"/>
        <v>883</v>
      </c>
      <c r="K13" s="44"/>
      <c r="L13" s="44"/>
      <c r="M13" s="44"/>
    </row>
    <row r="14" spans="1:13" s="5" customFormat="1" ht="12.75">
      <c r="A14" s="201">
        <f t="shared" si="1"/>
        <v>4</v>
      </c>
      <c r="B14" s="201" t="s">
        <v>599</v>
      </c>
      <c r="C14" s="311">
        <v>0</v>
      </c>
      <c r="D14" s="311">
        <v>805</v>
      </c>
      <c r="E14" s="311">
        <v>0</v>
      </c>
      <c r="F14" s="311">
        <v>0</v>
      </c>
      <c r="G14" s="311">
        <v>0</v>
      </c>
      <c r="H14" s="312">
        <v>0</v>
      </c>
      <c r="I14" s="312">
        <v>0</v>
      </c>
      <c r="J14" s="313">
        <f t="shared" si="0"/>
        <v>805</v>
      </c>
      <c r="K14" s="44"/>
      <c r="L14" s="44"/>
      <c r="M14" s="44"/>
    </row>
    <row r="15" spans="1:13" s="5" customFormat="1" ht="12.75">
      <c r="A15" s="201">
        <f t="shared" si="1"/>
        <v>5</v>
      </c>
      <c r="B15" s="201" t="s">
        <v>600</v>
      </c>
      <c r="C15" s="311">
        <v>0</v>
      </c>
      <c r="D15" s="311">
        <v>524</v>
      </c>
      <c r="E15" s="311">
        <v>0</v>
      </c>
      <c r="F15" s="311">
        <v>0</v>
      </c>
      <c r="G15" s="311">
        <v>0</v>
      </c>
      <c r="H15" s="312">
        <v>0</v>
      </c>
      <c r="I15" s="312">
        <v>0</v>
      </c>
      <c r="J15" s="313">
        <f t="shared" si="0"/>
        <v>524</v>
      </c>
      <c r="K15" s="44"/>
      <c r="L15" s="44"/>
      <c r="M15" s="44"/>
    </row>
    <row r="16" spans="1:13" s="5" customFormat="1" ht="12.75">
      <c r="A16" s="201">
        <f t="shared" si="1"/>
        <v>6</v>
      </c>
      <c r="B16" s="201" t="s">
        <v>601</v>
      </c>
      <c r="C16" s="311">
        <v>0</v>
      </c>
      <c r="D16" s="311">
        <v>826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3">
        <f t="shared" si="0"/>
        <v>826</v>
      </c>
      <c r="K16" s="44"/>
      <c r="L16" s="44"/>
      <c r="M16" s="44"/>
    </row>
    <row r="17" spans="1:13" s="5" customFormat="1" ht="12.75">
      <c r="A17" s="201">
        <f t="shared" si="1"/>
        <v>7</v>
      </c>
      <c r="B17" s="201" t="s">
        <v>602</v>
      </c>
      <c r="C17" s="311">
        <v>0</v>
      </c>
      <c r="D17" s="311">
        <v>466</v>
      </c>
      <c r="E17" s="311">
        <v>0</v>
      </c>
      <c r="F17" s="311">
        <v>0</v>
      </c>
      <c r="G17" s="311">
        <v>0</v>
      </c>
      <c r="H17" s="311">
        <v>0</v>
      </c>
      <c r="I17" s="311">
        <v>0</v>
      </c>
      <c r="J17" s="313">
        <f t="shared" si="0"/>
        <v>466</v>
      </c>
      <c r="K17" s="44"/>
      <c r="L17" s="44"/>
      <c r="M17" s="44"/>
    </row>
    <row r="18" spans="1:13" s="5" customFormat="1" ht="12.75">
      <c r="A18" s="201">
        <f t="shared" si="1"/>
        <v>8</v>
      </c>
      <c r="B18" s="201" t="s">
        <v>603</v>
      </c>
      <c r="C18" s="311">
        <v>0</v>
      </c>
      <c r="D18" s="311">
        <v>1014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3">
        <f t="shared" si="0"/>
        <v>1014</v>
      </c>
      <c r="K18" s="44"/>
      <c r="L18" s="44"/>
      <c r="M18" s="44"/>
    </row>
    <row r="19" spans="1:13" s="5" customFormat="1" ht="12.75">
      <c r="A19" s="201">
        <f t="shared" si="1"/>
        <v>9</v>
      </c>
      <c r="B19" s="201" t="s">
        <v>604</v>
      </c>
      <c r="C19" s="311">
        <v>0</v>
      </c>
      <c r="D19" s="311">
        <v>685</v>
      </c>
      <c r="E19" s="311">
        <v>0</v>
      </c>
      <c r="F19" s="311">
        <v>0</v>
      </c>
      <c r="G19" s="311">
        <v>0</v>
      </c>
      <c r="H19" s="312">
        <v>0</v>
      </c>
      <c r="I19" s="312">
        <v>0</v>
      </c>
      <c r="J19" s="313">
        <f t="shared" si="0"/>
        <v>685</v>
      </c>
      <c r="K19" s="44"/>
      <c r="L19" s="44"/>
      <c r="M19" s="44"/>
    </row>
    <row r="20" spans="1:13" s="5" customFormat="1" ht="12.75">
      <c r="A20" s="201">
        <f t="shared" si="1"/>
        <v>10</v>
      </c>
      <c r="B20" s="201" t="s">
        <v>605</v>
      </c>
      <c r="C20" s="311">
        <v>0</v>
      </c>
      <c r="D20" s="311">
        <v>1259</v>
      </c>
      <c r="E20" s="311">
        <v>0</v>
      </c>
      <c r="F20" s="311">
        <v>0</v>
      </c>
      <c r="G20" s="311">
        <v>0</v>
      </c>
      <c r="H20" s="312">
        <v>0</v>
      </c>
      <c r="I20" s="312">
        <v>0</v>
      </c>
      <c r="J20" s="313">
        <f t="shared" si="0"/>
        <v>1259</v>
      </c>
      <c r="K20" s="44"/>
      <c r="L20" s="44"/>
      <c r="M20" s="44"/>
    </row>
    <row r="21" spans="1:13" s="5" customFormat="1" ht="12.75">
      <c r="A21" s="201">
        <f t="shared" si="1"/>
        <v>11</v>
      </c>
      <c r="B21" s="201" t="s">
        <v>635</v>
      </c>
      <c r="C21" s="311">
        <v>0</v>
      </c>
      <c r="D21" s="311">
        <v>1039</v>
      </c>
      <c r="E21" s="311">
        <v>0</v>
      </c>
      <c r="F21" s="311">
        <v>0</v>
      </c>
      <c r="G21" s="311">
        <v>0</v>
      </c>
      <c r="H21" s="312">
        <v>0</v>
      </c>
      <c r="I21" s="312">
        <v>0</v>
      </c>
      <c r="J21" s="313">
        <f t="shared" si="0"/>
        <v>1039</v>
      </c>
      <c r="K21" s="44"/>
      <c r="L21" s="44"/>
      <c r="M21" s="44"/>
    </row>
    <row r="22" spans="1:13" s="5" customFormat="1" ht="12.75">
      <c r="A22" s="201">
        <f t="shared" si="1"/>
        <v>12</v>
      </c>
      <c r="B22" s="201" t="s">
        <v>606</v>
      </c>
      <c r="C22" s="311">
        <v>0</v>
      </c>
      <c r="D22" s="311">
        <v>927</v>
      </c>
      <c r="E22" s="311">
        <v>0</v>
      </c>
      <c r="F22" s="311">
        <v>0</v>
      </c>
      <c r="G22" s="311">
        <v>0</v>
      </c>
      <c r="H22" s="311">
        <v>0</v>
      </c>
      <c r="I22" s="311">
        <v>0</v>
      </c>
      <c r="J22" s="313">
        <f t="shared" si="0"/>
        <v>927</v>
      </c>
      <c r="K22" s="44"/>
      <c r="L22" s="44"/>
      <c r="M22" s="44"/>
    </row>
    <row r="23" spans="1:13" s="5" customFormat="1" ht="12.75">
      <c r="A23" s="201">
        <f t="shared" si="1"/>
        <v>13</v>
      </c>
      <c r="B23" s="201" t="s">
        <v>607</v>
      </c>
      <c r="C23" s="311">
        <v>0</v>
      </c>
      <c r="D23" s="311">
        <v>1340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3">
        <f t="shared" si="0"/>
        <v>1340</v>
      </c>
      <c r="K23" s="44"/>
      <c r="L23" s="44"/>
      <c r="M23" s="44"/>
    </row>
    <row r="24" spans="1:13" s="5" customFormat="1" ht="12.75">
      <c r="A24" s="201">
        <f t="shared" si="1"/>
        <v>14</v>
      </c>
      <c r="B24" s="201" t="s">
        <v>636</v>
      </c>
      <c r="C24" s="311">
        <v>0</v>
      </c>
      <c r="D24" s="311">
        <v>769</v>
      </c>
      <c r="E24" s="311">
        <v>0</v>
      </c>
      <c r="F24" s="311">
        <v>0</v>
      </c>
      <c r="G24" s="311">
        <v>0</v>
      </c>
      <c r="H24" s="312">
        <v>0</v>
      </c>
      <c r="I24" s="312">
        <v>0</v>
      </c>
      <c r="J24" s="313">
        <f t="shared" si="0"/>
        <v>769</v>
      </c>
      <c r="K24" s="44"/>
      <c r="L24" s="44"/>
      <c r="M24" s="44"/>
    </row>
    <row r="25" spans="1:13" s="5" customFormat="1" ht="12.75">
      <c r="A25" s="201">
        <f t="shared" si="1"/>
        <v>15</v>
      </c>
      <c r="B25" s="201" t="s">
        <v>608</v>
      </c>
      <c r="C25" s="311">
        <v>0</v>
      </c>
      <c r="D25" s="311">
        <v>910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  <c r="J25" s="313">
        <f t="shared" si="0"/>
        <v>910</v>
      </c>
      <c r="K25" s="44"/>
      <c r="L25" s="44"/>
      <c r="M25" s="44"/>
    </row>
    <row r="26" spans="1:13" s="5" customFormat="1" ht="12.75">
      <c r="A26" s="201">
        <f t="shared" si="1"/>
        <v>16</v>
      </c>
      <c r="B26" s="201" t="s">
        <v>609</v>
      </c>
      <c r="C26" s="311">
        <v>0</v>
      </c>
      <c r="D26" s="311">
        <v>507</v>
      </c>
      <c r="E26" s="311">
        <v>0</v>
      </c>
      <c r="F26" s="311">
        <v>0</v>
      </c>
      <c r="G26" s="311">
        <v>0</v>
      </c>
      <c r="H26" s="312">
        <v>17</v>
      </c>
      <c r="I26" s="312">
        <v>0</v>
      </c>
      <c r="J26" s="313">
        <f t="shared" si="0"/>
        <v>524</v>
      </c>
      <c r="K26" s="44"/>
      <c r="L26" s="44"/>
      <c r="M26" s="44"/>
    </row>
    <row r="27" spans="1:13" ht="12.75">
      <c r="A27" s="201">
        <f t="shared" si="1"/>
        <v>17</v>
      </c>
      <c r="B27" s="201" t="s">
        <v>610</v>
      </c>
      <c r="C27" s="314">
        <v>0</v>
      </c>
      <c r="D27" s="311">
        <v>840</v>
      </c>
      <c r="E27" s="314">
        <v>0</v>
      </c>
      <c r="F27" s="314">
        <v>0</v>
      </c>
      <c r="G27" s="314">
        <v>0</v>
      </c>
      <c r="H27" s="315">
        <v>0</v>
      </c>
      <c r="I27" s="315">
        <v>0</v>
      </c>
      <c r="J27" s="313">
        <f t="shared" si="0"/>
        <v>840</v>
      </c>
      <c r="K27" s="193"/>
      <c r="L27" s="44"/>
      <c r="M27" s="193"/>
    </row>
    <row r="28" spans="1:13" ht="12.75">
      <c r="A28" s="201">
        <f t="shared" si="1"/>
        <v>18</v>
      </c>
      <c r="B28" s="201" t="s">
        <v>611</v>
      </c>
      <c r="C28" s="314">
        <v>0</v>
      </c>
      <c r="D28" s="311">
        <v>1424</v>
      </c>
      <c r="E28" s="314">
        <v>3</v>
      </c>
      <c r="F28" s="314">
        <v>0</v>
      </c>
      <c r="G28" s="314">
        <v>0</v>
      </c>
      <c r="H28" s="315">
        <v>0</v>
      </c>
      <c r="I28" s="315">
        <v>0</v>
      </c>
      <c r="J28" s="313">
        <f t="shared" si="0"/>
        <v>1427</v>
      </c>
      <c r="K28" s="193"/>
      <c r="L28" s="44"/>
      <c r="M28" s="193"/>
    </row>
    <row r="29" spans="1:13" ht="12.75">
      <c r="A29" s="201">
        <f t="shared" si="1"/>
        <v>19</v>
      </c>
      <c r="B29" s="201" t="s">
        <v>637</v>
      </c>
      <c r="C29" s="314">
        <v>0</v>
      </c>
      <c r="D29" s="311">
        <v>784</v>
      </c>
      <c r="E29" s="314">
        <v>0</v>
      </c>
      <c r="F29" s="314">
        <v>0</v>
      </c>
      <c r="G29" s="314">
        <v>0</v>
      </c>
      <c r="H29" s="315">
        <v>0</v>
      </c>
      <c r="I29" s="315">
        <v>0</v>
      </c>
      <c r="J29" s="313">
        <f t="shared" si="0"/>
        <v>784</v>
      </c>
      <c r="K29" s="193"/>
      <c r="L29" s="44"/>
      <c r="M29" s="193"/>
    </row>
    <row r="30" spans="1:13" ht="12.75">
      <c r="A30" s="201">
        <f t="shared" si="1"/>
        <v>20</v>
      </c>
      <c r="B30" s="201" t="s">
        <v>612</v>
      </c>
      <c r="C30" s="314">
        <v>0</v>
      </c>
      <c r="D30" s="311">
        <v>1200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3">
        <f t="shared" si="0"/>
        <v>1200</v>
      </c>
      <c r="K30" s="193"/>
      <c r="L30" s="44"/>
      <c r="M30" s="193"/>
    </row>
    <row r="31" spans="1:13" ht="12.75">
      <c r="A31" s="201">
        <f t="shared" si="1"/>
        <v>21</v>
      </c>
      <c r="B31" s="201" t="s">
        <v>613</v>
      </c>
      <c r="C31" s="314">
        <v>0</v>
      </c>
      <c r="D31" s="311">
        <v>554</v>
      </c>
      <c r="E31" s="314">
        <v>0</v>
      </c>
      <c r="F31" s="314">
        <v>0</v>
      </c>
      <c r="G31" s="314">
        <v>0</v>
      </c>
      <c r="H31" s="315">
        <v>0</v>
      </c>
      <c r="I31" s="315">
        <v>0</v>
      </c>
      <c r="J31" s="313">
        <f t="shared" si="0"/>
        <v>554</v>
      </c>
      <c r="K31" s="193"/>
      <c r="L31" s="44"/>
      <c r="M31" s="193"/>
    </row>
    <row r="32" spans="1:13" ht="12.75">
      <c r="A32" s="201">
        <f t="shared" si="1"/>
        <v>22</v>
      </c>
      <c r="B32" s="201" t="s">
        <v>614</v>
      </c>
      <c r="C32" s="314">
        <v>0</v>
      </c>
      <c r="D32" s="311">
        <v>500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3">
        <f t="shared" si="0"/>
        <v>500</v>
      </c>
      <c r="K32" s="193"/>
      <c r="L32" s="44"/>
      <c r="M32" s="193"/>
    </row>
    <row r="33" spans="1:13" ht="12.75">
      <c r="A33" s="201">
        <f t="shared" si="1"/>
        <v>23</v>
      </c>
      <c r="B33" s="201" t="s">
        <v>615</v>
      </c>
      <c r="C33" s="314">
        <v>0</v>
      </c>
      <c r="D33" s="311">
        <v>1281</v>
      </c>
      <c r="E33" s="314">
        <v>0</v>
      </c>
      <c r="F33" s="314">
        <v>0</v>
      </c>
      <c r="G33" s="314">
        <v>0</v>
      </c>
      <c r="H33" s="315">
        <v>52</v>
      </c>
      <c r="I33" s="315">
        <v>0</v>
      </c>
      <c r="J33" s="313">
        <f t="shared" si="0"/>
        <v>1333</v>
      </c>
      <c r="K33" s="193"/>
      <c r="L33" s="44"/>
      <c r="M33" s="193"/>
    </row>
    <row r="34" spans="1:13" ht="12.75">
      <c r="A34" s="201">
        <f t="shared" si="1"/>
        <v>24</v>
      </c>
      <c r="B34" s="201" t="s">
        <v>616</v>
      </c>
      <c r="C34" s="314">
        <v>0</v>
      </c>
      <c r="D34" s="311">
        <v>780</v>
      </c>
      <c r="E34" s="314">
        <v>0</v>
      </c>
      <c r="F34" s="314">
        <v>0</v>
      </c>
      <c r="G34" s="314">
        <v>508</v>
      </c>
      <c r="H34" s="315">
        <v>0</v>
      </c>
      <c r="I34" s="315">
        <v>0</v>
      </c>
      <c r="J34" s="313">
        <f t="shared" si="0"/>
        <v>1288</v>
      </c>
      <c r="K34" s="193"/>
      <c r="L34" s="44"/>
      <c r="M34" s="193"/>
    </row>
    <row r="35" spans="1:13" ht="12.75">
      <c r="A35" s="201">
        <f t="shared" si="1"/>
        <v>25</v>
      </c>
      <c r="B35" s="201" t="s">
        <v>617</v>
      </c>
      <c r="C35" s="314">
        <v>0</v>
      </c>
      <c r="D35" s="311">
        <v>994</v>
      </c>
      <c r="E35" s="314">
        <v>0</v>
      </c>
      <c r="F35" s="314">
        <v>0</v>
      </c>
      <c r="G35" s="314">
        <v>0</v>
      </c>
      <c r="H35" s="314">
        <v>0</v>
      </c>
      <c r="I35" s="314">
        <v>0</v>
      </c>
      <c r="J35" s="313">
        <f t="shared" si="0"/>
        <v>994</v>
      </c>
      <c r="K35" s="193"/>
      <c r="L35" s="44"/>
      <c r="M35" s="193"/>
    </row>
    <row r="36" spans="1:13" ht="12.75">
      <c r="A36" s="201">
        <f t="shared" si="1"/>
        <v>26</v>
      </c>
      <c r="B36" s="201" t="s">
        <v>618</v>
      </c>
      <c r="C36" s="314">
        <v>0</v>
      </c>
      <c r="D36" s="311">
        <f>949+7</f>
        <v>956</v>
      </c>
      <c r="E36" s="314">
        <v>15</v>
      </c>
      <c r="F36" s="314">
        <v>0</v>
      </c>
      <c r="G36" s="314">
        <v>0</v>
      </c>
      <c r="H36" s="315">
        <v>0</v>
      </c>
      <c r="I36" s="315">
        <v>0</v>
      </c>
      <c r="J36" s="313">
        <f t="shared" si="0"/>
        <v>971</v>
      </c>
      <c r="K36" s="193"/>
      <c r="L36" s="44"/>
      <c r="M36" s="193"/>
    </row>
    <row r="37" spans="1:13" ht="12.75">
      <c r="A37" s="201">
        <f t="shared" si="1"/>
        <v>27</v>
      </c>
      <c r="B37" s="201" t="s">
        <v>619</v>
      </c>
      <c r="C37" s="314">
        <v>0</v>
      </c>
      <c r="D37" s="311">
        <v>1034</v>
      </c>
      <c r="E37" s="314">
        <v>0</v>
      </c>
      <c r="F37" s="314">
        <v>0</v>
      </c>
      <c r="G37" s="314">
        <v>0</v>
      </c>
      <c r="H37" s="314">
        <v>0</v>
      </c>
      <c r="I37" s="314">
        <v>0</v>
      </c>
      <c r="J37" s="313">
        <f t="shared" si="0"/>
        <v>1034</v>
      </c>
      <c r="K37" s="193"/>
      <c r="L37" s="44"/>
      <c r="M37" s="193"/>
    </row>
    <row r="38" spans="1:13" ht="12.75">
      <c r="A38" s="201">
        <f t="shared" si="1"/>
        <v>28</v>
      </c>
      <c r="B38" s="143" t="s">
        <v>620</v>
      </c>
      <c r="C38" s="314">
        <v>0</v>
      </c>
      <c r="D38" s="311">
        <v>514</v>
      </c>
      <c r="E38" s="314">
        <v>0</v>
      </c>
      <c r="F38" s="314">
        <v>0</v>
      </c>
      <c r="G38" s="314">
        <v>0</v>
      </c>
      <c r="H38" s="315">
        <v>0</v>
      </c>
      <c r="I38" s="315">
        <v>0</v>
      </c>
      <c r="J38" s="313">
        <f t="shared" si="0"/>
        <v>514</v>
      </c>
      <c r="K38" s="193"/>
      <c r="L38" s="44"/>
      <c r="M38" s="193"/>
    </row>
    <row r="39" spans="1:13" ht="12.75">
      <c r="A39" s="201">
        <f t="shared" si="1"/>
        <v>29</v>
      </c>
      <c r="B39" s="143" t="s">
        <v>621</v>
      </c>
      <c r="C39" s="314">
        <v>0</v>
      </c>
      <c r="D39" s="311">
        <v>654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  <c r="J39" s="313">
        <f t="shared" si="0"/>
        <v>654</v>
      </c>
      <c r="K39" s="193"/>
      <c r="L39" s="44"/>
      <c r="M39" s="193"/>
    </row>
    <row r="40" spans="1:13" ht="12.75">
      <c r="A40" s="201">
        <f t="shared" si="1"/>
        <v>30</v>
      </c>
      <c r="B40" s="143" t="s">
        <v>622</v>
      </c>
      <c r="C40" s="314">
        <v>0</v>
      </c>
      <c r="D40" s="311">
        <v>525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  <c r="J40" s="313">
        <f t="shared" si="0"/>
        <v>525</v>
      </c>
      <c r="K40" s="193"/>
      <c r="L40" s="44"/>
      <c r="M40" s="193"/>
    </row>
    <row r="41" spans="1:13" ht="12.75">
      <c r="A41" s="201">
        <f t="shared" si="1"/>
        <v>31</v>
      </c>
      <c r="B41" s="143" t="s">
        <v>623</v>
      </c>
      <c r="C41" s="314">
        <v>0</v>
      </c>
      <c r="D41" s="311">
        <v>678</v>
      </c>
      <c r="E41" s="314">
        <v>0</v>
      </c>
      <c r="F41" s="314">
        <v>0</v>
      </c>
      <c r="G41" s="314">
        <v>0</v>
      </c>
      <c r="H41" s="314">
        <v>0</v>
      </c>
      <c r="I41" s="314">
        <v>0</v>
      </c>
      <c r="J41" s="313">
        <f t="shared" si="0"/>
        <v>678</v>
      </c>
      <c r="K41" s="193"/>
      <c r="L41" s="44"/>
      <c r="M41" s="193"/>
    </row>
    <row r="42" spans="1:13" ht="12.75">
      <c r="A42" s="150"/>
      <c r="B42" s="150" t="s">
        <v>624</v>
      </c>
      <c r="C42" s="285">
        <f>SUM(C11:C41)</f>
        <v>0</v>
      </c>
      <c r="D42" s="285">
        <f aca="true" t="shared" si="2" ref="D42:J42">SUM(D11:D41)</f>
        <v>26254</v>
      </c>
      <c r="E42" s="285">
        <f t="shared" si="2"/>
        <v>18</v>
      </c>
      <c r="F42" s="285">
        <f t="shared" si="2"/>
        <v>0</v>
      </c>
      <c r="G42" s="285">
        <f t="shared" si="2"/>
        <v>508</v>
      </c>
      <c r="H42" s="285">
        <f t="shared" si="2"/>
        <v>952</v>
      </c>
      <c r="I42" s="285">
        <f t="shared" si="2"/>
        <v>0</v>
      </c>
      <c r="J42" s="285">
        <f t="shared" si="2"/>
        <v>27732</v>
      </c>
      <c r="K42" s="193"/>
      <c r="L42" s="193"/>
      <c r="M42" s="193"/>
    </row>
    <row r="43" spans="1:13" ht="12.75">
      <c r="A43" s="212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</row>
    <row r="44" spans="1:13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1:13" ht="12.75">
      <c r="A45" s="193" t="s">
        <v>118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</row>
    <row r="46" spans="1:13" ht="12.75">
      <c r="A46" s="193" t="s">
        <v>195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</row>
    <row r="47" ht="12.75">
      <c r="A47" s="6" t="s">
        <v>119</v>
      </c>
    </row>
    <row r="48" spans="1:13" ht="12.75">
      <c r="A48" s="789" t="s">
        <v>120</v>
      </c>
      <c r="B48" s="789"/>
      <c r="C48" s="789"/>
      <c r="D48" s="789"/>
      <c r="E48" s="789"/>
      <c r="F48" s="789"/>
      <c r="G48" s="789"/>
      <c r="H48" s="789"/>
      <c r="I48" s="789"/>
      <c r="J48" s="789"/>
      <c r="K48" s="789"/>
      <c r="L48" s="789"/>
      <c r="M48" s="789"/>
    </row>
    <row r="49" spans="1:13" ht="12.75">
      <c r="A49" s="796" t="s">
        <v>121</v>
      </c>
      <c r="B49" s="796"/>
      <c r="C49" s="796"/>
      <c r="D49" s="796"/>
      <c r="E49" s="193"/>
      <c r="F49" s="193"/>
      <c r="G49" s="193"/>
      <c r="H49" s="193"/>
      <c r="I49" s="193"/>
      <c r="J49" s="193"/>
      <c r="K49" s="193"/>
      <c r="L49" s="193"/>
      <c r="M49" s="193"/>
    </row>
    <row r="50" spans="1:13" ht="12.75">
      <c r="A50" s="213" t="s">
        <v>163</v>
      </c>
      <c r="B50" s="213"/>
      <c r="C50" s="213"/>
      <c r="D50" s="213"/>
      <c r="E50" s="193"/>
      <c r="F50" s="193"/>
      <c r="G50" s="193"/>
      <c r="H50" s="193"/>
      <c r="I50" s="193"/>
      <c r="J50" s="193"/>
      <c r="K50" s="193"/>
      <c r="L50" s="193"/>
      <c r="M50" s="193"/>
    </row>
    <row r="53" spans="7:10" ht="15.75">
      <c r="G53" s="621" t="s">
        <v>860</v>
      </c>
      <c r="H53" s="621"/>
      <c r="I53" s="621"/>
      <c r="J53" s="621"/>
    </row>
    <row r="54" spans="7:10" ht="15.75">
      <c r="G54" s="621" t="s">
        <v>653</v>
      </c>
      <c r="H54" s="621"/>
      <c r="I54" s="621"/>
      <c r="J54" s="621"/>
    </row>
  </sheetData>
  <sheetProtection/>
  <mergeCells count="15">
    <mergeCell ref="G53:J53"/>
    <mergeCell ref="G54:J54"/>
    <mergeCell ref="D1:E1"/>
    <mergeCell ref="G1:J1"/>
    <mergeCell ref="A2:J2"/>
    <mergeCell ref="A4:J4"/>
    <mergeCell ref="A5:B5"/>
    <mergeCell ref="A49:D49"/>
    <mergeCell ref="K48:M48"/>
    <mergeCell ref="A8:A9"/>
    <mergeCell ref="B8:B9"/>
    <mergeCell ref="C8:J8"/>
    <mergeCell ref="C3:I3"/>
    <mergeCell ref="A48:D48"/>
    <mergeCell ref="E48:J48"/>
  </mergeCells>
  <printOptions horizontalCentered="1"/>
  <pageMargins left="0.44" right="0.45" top="0.44" bottom="0" header="0.31496062992125984" footer="0.31496062992125984"/>
  <pageSetup fitToHeight="1" fitToWidth="1"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55" zoomScaleNormal="70" zoomScaleSheetLayoutView="55" zoomScalePageLayoutView="0" workbookViewId="0" topLeftCell="A4">
      <selection activeCell="P23" sqref="P23"/>
    </sheetView>
  </sheetViews>
  <sheetFormatPr defaultColWidth="9.140625" defaultRowHeight="12.75"/>
  <cols>
    <col min="1" max="1" width="6.140625" style="6" customWidth="1"/>
    <col min="2" max="2" width="18.28125" style="6" customWidth="1"/>
    <col min="3" max="11" width="17.00390625" style="6" customWidth="1"/>
    <col min="12" max="12" width="18.8515625" style="6" customWidth="1"/>
    <col min="13" max="13" width="18.7109375" style="6" customWidth="1"/>
    <col min="14" max="14" width="12.28125" style="6" customWidth="1"/>
    <col min="15" max="15" width="12.7109375" style="6" customWidth="1"/>
    <col min="16" max="16" width="16.140625" style="6" customWidth="1"/>
    <col min="17" max="16384" width="9.140625" style="6" customWidth="1"/>
  </cols>
  <sheetData>
    <row r="1" spans="1:16" ht="1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709" t="s">
        <v>542</v>
      </c>
      <c r="M1" s="709"/>
      <c r="N1" s="45"/>
      <c r="O1" s="193"/>
      <c r="P1" s="193"/>
    </row>
    <row r="2" spans="1:16" ht="15.75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193"/>
      <c r="O2" s="193"/>
      <c r="P2" s="193"/>
    </row>
    <row r="3" spans="1:16" ht="20.25">
      <c r="A3" s="623" t="s">
        <v>695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193"/>
      <c r="O3" s="193"/>
      <c r="P3" s="193"/>
    </row>
    <row r="4" spans="1:16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5.75">
      <c r="A5" s="638" t="s">
        <v>541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193"/>
      <c r="O5" s="193"/>
      <c r="P5" s="193"/>
    </row>
    <row r="6" spans="1:16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2.75">
      <c r="A7" s="559" t="s">
        <v>665</v>
      </c>
      <c r="B7" s="559"/>
      <c r="C7" s="141"/>
      <c r="D7" s="141"/>
      <c r="E7" s="141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8">
      <c r="A8" s="41"/>
      <c r="B8" s="41"/>
      <c r="C8" s="41"/>
      <c r="D8" s="41"/>
      <c r="E8" s="41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26" ht="19.5" customHeight="1">
      <c r="A9" s="782" t="s">
        <v>2</v>
      </c>
      <c r="B9" s="782" t="s">
        <v>3</v>
      </c>
      <c r="C9" s="798" t="s">
        <v>116</v>
      </c>
      <c r="D9" s="798"/>
      <c r="E9" s="799"/>
      <c r="F9" s="797" t="s">
        <v>117</v>
      </c>
      <c r="G9" s="798"/>
      <c r="H9" s="798"/>
      <c r="I9" s="799"/>
      <c r="J9" s="797" t="s">
        <v>193</v>
      </c>
      <c r="K9" s="798"/>
      <c r="L9" s="798"/>
      <c r="M9" s="799"/>
      <c r="Y9" s="8"/>
      <c r="Z9" s="10"/>
    </row>
    <row r="10" spans="1:13" ht="45.75" customHeight="1">
      <c r="A10" s="782"/>
      <c r="B10" s="782"/>
      <c r="C10" s="162" t="s">
        <v>378</v>
      </c>
      <c r="D10" s="166" t="s">
        <v>375</v>
      </c>
      <c r="E10" s="162" t="s">
        <v>196</v>
      </c>
      <c r="F10" s="166" t="s">
        <v>373</v>
      </c>
      <c r="G10" s="162" t="s">
        <v>374</v>
      </c>
      <c r="H10" s="166" t="s">
        <v>375</v>
      </c>
      <c r="I10" s="162" t="s">
        <v>196</v>
      </c>
      <c r="J10" s="166" t="s">
        <v>377</v>
      </c>
      <c r="K10" s="162" t="s">
        <v>374</v>
      </c>
      <c r="L10" s="166" t="s">
        <v>375</v>
      </c>
      <c r="M10" s="1" t="s">
        <v>196</v>
      </c>
    </row>
    <row r="11" spans="1:13" s="5" customFormat="1" ht="12.75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  <c r="H11" s="179">
        <v>8</v>
      </c>
      <c r="I11" s="179">
        <v>9</v>
      </c>
      <c r="J11" s="179">
        <v>10</v>
      </c>
      <c r="K11" s="179">
        <v>11</v>
      </c>
      <c r="L11" s="179">
        <v>12</v>
      </c>
      <c r="M11" s="179">
        <v>13</v>
      </c>
    </row>
    <row r="12" spans="1:13" s="5" customFormat="1" ht="12.75">
      <c r="A12" s="201">
        <v>1</v>
      </c>
      <c r="B12" s="201" t="s">
        <v>633</v>
      </c>
      <c r="C12" s="311">
        <v>1152</v>
      </c>
      <c r="D12" s="311">
        <v>1152</v>
      </c>
      <c r="E12" s="311">
        <v>58050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</row>
    <row r="13" spans="1:13" s="5" customFormat="1" ht="12.75">
      <c r="A13" s="201">
        <f>A12+1</f>
        <v>2</v>
      </c>
      <c r="B13" s="201" t="s">
        <v>598</v>
      </c>
      <c r="C13" s="311">
        <v>1313</v>
      </c>
      <c r="D13" s="311">
        <v>1313</v>
      </c>
      <c r="E13" s="311">
        <v>62808</v>
      </c>
      <c r="F13" s="311">
        <v>0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  <c r="M13" s="311">
        <v>0</v>
      </c>
    </row>
    <row r="14" spans="1:13" s="5" customFormat="1" ht="12.75">
      <c r="A14" s="201">
        <f aca="true" t="shared" si="0" ref="A14:A42">A13+1</f>
        <v>3</v>
      </c>
      <c r="B14" s="201" t="s">
        <v>634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 t="s">
        <v>664</v>
      </c>
      <c r="K14" s="311">
        <v>1</v>
      </c>
      <c r="L14" s="311">
        <v>883</v>
      </c>
      <c r="M14" s="311">
        <v>130308</v>
      </c>
    </row>
    <row r="15" spans="1:13" s="5" customFormat="1" ht="12.75">
      <c r="A15" s="201">
        <f t="shared" si="0"/>
        <v>4</v>
      </c>
      <c r="B15" s="201" t="s">
        <v>599</v>
      </c>
      <c r="C15" s="311">
        <v>805</v>
      </c>
      <c r="D15" s="311">
        <v>805</v>
      </c>
      <c r="E15" s="311">
        <v>48962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</row>
    <row r="16" spans="1:13" s="5" customFormat="1" ht="12.75">
      <c r="A16" s="201">
        <f t="shared" si="0"/>
        <v>5</v>
      </c>
      <c r="B16" s="201" t="s">
        <v>600</v>
      </c>
      <c r="C16" s="311">
        <v>524</v>
      </c>
      <c r="D16" s="311">
        <v>524</v>
      </c>
      <c r="E16" s="311">
        <v>31560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311">
        <v>0</v>
      </c>
    </row>
    <row r="17" spans="1:13" s="5" customFormat="1" ht="12.75">
      <c r="A17" s="201">
        <f t="shared" si="0"/>
        <v>6</v>
      </c>
      <c r="B17" s="201" t="s">
        <v>601</v>
      </c>
      <c r="C17" s="311">
        <v>826</v>
      </c>
      <c r="D17" s="311">
        <v>826</v>
      </c>
      <c r="E17" s="311">
        <v>35811</v>
      </c>
      <c r="F17" s="311">
        <v>0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0</v>
      </c>
      <c r="M17" s="311">
        <v>0</v>
      </c>
    </row>
    <row r="18" spans="1:13" s="5" customFormat="1" ht="12.75">
      <c r="A18" s="201">
        <f t="shared" si="0"/>
        <v>7</v>
      </c>
      <c r="B18" s="201" t="s">
        <v>602</v>
      </c>
      <c r="C18" s="311">
        <v>466</v>
      </c>
      <c r="D18" s="311">
        <v>466</v>
      </c>
      <c r="E18" s="311">
        <v>56442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  <c r="M18" s="311">
        <v>0</v>
      </c>
    </row>
    <row r="19" spans="1:13" s="5" customFormat="1" ht="12.75">
      <c r="A19" s="201">
        <f t="shared" si="0"/>
        <v>8</v>
      </c>
      <c r="B19" s="201" t="s">
        <v>603</v>
      </c>
      <c r="C19" s="311">
        <v>1014</v>
      </c>
      <c r="D19" s="311">
        <v>1014</v>
      </c>
      <c r="E19" s="311">
        <v>72346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</row>
    <row r="20" spans="1:13" s="5" customFormat="1" ht="12.75">
      <c r="A20" s="201">
        <f t="shared" si="0"/>
        <v>9</v>
      </c>
      <c r="B20" s="201" t="s">
        <v>604</v>
      </c>
      <c r="C20" s="311">
        <v>685</v>
      </c>
      <c r="D20" s="311">
        <v>685</v>
      </c>
      <c r="E20" s="311">
        <v>36190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1">
        <v>0</v>
      </c>
      <c r="M20" s="311">
        <v>0</v>
      </c>
    </row>
    <row r="21" spans="1:13" s="5" customFormat="1" ht="12.75">
      <c r="A21" s="201">
        <f t="shared" si="0"/>
        <v>10</v>
      </c>
      <c r="B21" s="201" t="s">
        <v>605</v>
      </c>
      <c r="C21" s="311">
        <v>1259</v>
      </c>
      <c r="D21" s="311">
        <v>1259</v>
      </c>
      <c r="E21" s="311">
        <v>75130</v>
      </c>
      <c r="F21" s="311">
        <v>0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</row>
    <row r="22" spans="1:13" s="5" customFormat="1" ht="12.75">
      <c r="A22" s="201">
        <f t="shared" si="0"/>
        <v>11</v>
      </c>
      <c r="B22" s="201" t="s">
        <v>635</v>
      </c>
      <c r="C22" s="311">
        <v>1039</v>
      </c>
      <c r="D22" s="311">
        <v>1039</v>
      </c>
      <c r="E22" s="311">
        <v>43994</v>
      </c>
      <c r="F22" s="311">
        <v>0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1">
        <v>0</v>
      </c>
      <c r="M22" s="311">
        <v>0</v>
      </c>
    </row>
    <row r="23" spans="1:13" s="5" customFormat="1" ht="12.75">
      <c r="A23" s="201">
        <f t="shared" si="0"/>
        <v>12</v>
      </c>
      <c r="B23" s="201" t="s">
        <v>606</v>
      </c>
      <c r="C23" s="311">
        <v>927</v>
      </c>
      <c r="D23" s="311">
        <v>927</v>
      </c>
      <c r="E23" s="311">
        <v>45233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  <c r="M23" s="311">
        <v>0</v>
      </c>
    </row>
    <row r="24" spans="1:13" s="5" customFormat="1" ht="15" customHeight="1">
      <c r="A24" s="201">
        <f t="shared" si="0"/>
        <v>13</v>
      </c>
      <c r="B24" s="201" t="s">
        <v>607</v>
      </c>
      <c r="C24" s="311">
        <v>1340</v>
      </c>
      <c r="D24" s="311">
        <v>1340</v>
      </c>
      <c r="E24" s="311">
        <v>123777</v>
      </c>
      <c r="F24" s="311">
        <v>0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v>0</v>
      </c>
      <c r="M24" s="311">
        <v>0</v>
      </c>
    </row>
    <row r="25" spans="1:13" s="5" customFormat="1" ht="12.75">
      <c r="A25" s="201">
        <f t="shared" si="0"/>
        <v>14</v>
      </c>
      <c r="B25" s="201" t="s">
        <v>636</v>
      </c>
      <c r="C25" s="311">
        <v>769</v>
      </c>
      <c r="D25" s="311">
        <v>769</v>
      </c>
      <c r="E25" s="311">
        <v>40642</v>
      </c>
      <c r="F25" s="311">
        <v>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0</v>
      </c>
      <c r="M25" s="311">
        <v>0</v>
      </c>
    </row>
    <row r="26" spans="1:13" s="5" customFormat="1" ht="12.75">
      <c r="A26" s="201">
        <f t="shared" si="0"/>
        <v>15</v>
      </c>
      <c r="B26" s="201" t="s">
        <v>608</v>
      </c>
      <c r="C26" s="311">
        <v>910</v>
      </c>
      <c r="D26" s="311">
        <v>910</v>
      </c>
      <c r="E26" s="311">
        <v>67992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311">
        <v>0</v>
      </c>
    </row>
    <row r="27" spans="1:13" s="5" customFormat="1" ht="12.75">
      <c r="A27" s="201">
        <f t="shared" si="0"/>
        <v>16</v>
      </c>
      <c r="B27" s="201" t="s">
        <v>609</v>
      </c>
      <c r="C27" s="311">
        <v>507</v>
      </c>
      <c r="D27" s="311">
        <v>507</v>
      </c>
      <c r="E27" s="311">
        <v>68014</v>
      </c>
      <c r="F27" s="311">
        <v>0</v>
      </c>
      <c r="G27" s="311">
        <v>0</v>
      </c>
      <c r="H27" s="311">
        <v>0</v>
      </c>
      <c r="I27" s="311">
        <v>0</v>
      </c>
      <c r="J27" s="311" t="s">
        <v>664</v>
      </c>
      <c r="K27" s="311">
        <v>1</v>
      </c>
      <c r="L27" s="311">
        <v>17</v>
      </c>
      <c r="M27" s="311">
        <v>2475</v>
      </c>
    </row>
    <row r="28" spans="1:13" ht="12.75">
      <c r="A28" s="201">
        <f t="shared" si="0"/>
        <v>17</v>
      </c>
      <c r="B28" s="201" t="s">
        <v>610</v>
      </c>
      <c r="C28" s="311">
        <v>840</v>
      </c>
      <c r="D28" s="311">
        <v>840</v>
      </c>
      <c r="E28" s="311">
        <v>57710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</row>
    <row r="29" spans="1:13" ht="12.75">
      <c r="A29" s="201">
        <f t="shared" si="0"/>
        <v>18</v>
      </c>
      <c r="B29" s="201" t="s">
        <v>611</v>
      </c>
      <c r="C29" s="311">
        <v>1427</v>
      </c>
      <c r="D29" s="311">
        <v>1427</v>
      </c>
      <c r="E29" s="311">
        <v>89173</v>
      </c>
      <c r="F29" s="311">
        <v>0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  <c r="M29" s="311">
        <v>0</v>
      </c>
    </row>
    <row r="30" spans="1:13" ht="12.75">
      <c r="A30" s="201">
        <f t="shared" si="0"/>
        <v>19</v>
      </c>
      <c r="B30" s="201" t="s">
        <v>637</v>
      </c>
      <c r="C30" s="311">
        <v>784</v>
      </c>
      <c r="D30" s="311">
        <v>784</v>
      </c>
      <c r="E30" s="311">
        <v>45222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v>0</v>
      </c>
    </row>
    <row r="31" spans="1:13" ht="12.75">
      <c r="A31" s="201">
        <f t="shared" si="0"/>
        <v>20</v>
      </c>
      <c r="B31" s="201" t="s">
        <v>612</v>
      </c>
      <c r="C31" s="311">
        <v>1200</v>
      </c>
      <c r="D31" s="311">
        <v>1200</v>
      </c>
      <c r="E31" s="311">
        <v>90037</v>
      </c>
      <c r="F31" s="311"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M31" s="311">
        <v>0</v>
      </c>
    </row>
    <row r="32" spans="1:13" ht="12.75">
      <c r="A32" s="201">
        <f t="shared" si="0"/>
        <v>21</v>
      </c>
      <c r="B32" s="201" t="s">
        <v>613</v>
      </c>
      <c r="C32" s="311">
        <v>554</v>
      </c>
      <c r="D32" s="311">
        <v>554</v>
      </c>
      <c r="E32" s="311">
        <v>28044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  <c r="M32" s="311">
        <v>0</v>
      </c>
    </row>
    <row r="33" spans="1:13" ht="12.75">
      <c r="A33" s="201">
        <f t="shared" si="0"/>
        <v>22</v>
      </c>
      <c r="B33" s="201" t="s">
        <v>614</v>
      </c>
      <c r="C33" s="311">
        <v>500</v>
      </c>
      <c r="D33" s="311">
        <v>500</v>
      </c>
      <c r="E33" s="311">
        <v>28527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  <c r="M33" s="311">
        <v>0</v>
      </c>
    </row>
    <row r="34" spans="1:13" ht="12.75">
      <c r="A34" s="201">
        <f t="shared" si="0"/>
        <v>23</v>
      </c>
      <c r="B34" s="201" t="s">
        <v>615</v>
      </c>
      <c r="C34" s="311">
        <v>1281</v>
      </c>
      <c r="D34" s="311">
        <v>1281</v>
      </c>
      <c r="E34" s="311">
        <v>118035</v>
      </c>
      <c r="F34" s="311">
        <v>0</v>
      </c>
      <c r="G34" s="311">
        <v>0</v>
      </c>
      <c r="H34" s="311">
        <v>0</v>
      </c>
      <c r="I34" s="311">
        <v>0</v>
      </c>
      <c r="J34" s="311" t="s">
        <v>664</v>
      </c>
      <c r="K34" s="311">
        <v>1</v>
      </c>
      <c r="L34" s="311">
        <v>52</v>
      </c>
      <c r="M34" s="311">
        <v>8853</v>
      </c>
    </row>
    <row r="35" spans="1:13" ht="25.5">
      <c r="A35" s="201">
        <f t="shared" si="0"/>
        <v>24</v>
      </c>
      <c r="B35" s="201" t="s">
        <v>616</v>
      </c>
      <c r="C35" s="311">
        <v>780</v>
      </c>
      <c r="D35" s="311">
        <v>780</v>
      </c>
      <c r="E35" s="311">
        <v>51231</v>
      </c>
      <c r="F35" s="311" t="s">
        <v>854</v>
      </c>
      <c r="G35" s="311">
        <v>1</v>
      </c>
      <c r="H35" s="311">
        <v>508</v>
      </c>
      <c r="I35" s="311">
        <v>47523</v>
      </c>
      <c r="J35" s="311">
        <v>0</v>
      </c>
      <c r="K35" s="311">
        <v>0</v>
      </c>
      <c r="L35" s="311">
        <v>0</v>
      </c>
      <c r="M35" s="311">
        <v>0</v>
      </c>
    </row>
    <row r="36" spans="1:13" ht="12.75">
      <c r="A36" s="201">
        <f t="shared" si="0"/>
        <v>25</v>
      </c>
      <c r="B36" s="201" t="s">
        <v>617</v>
      </c>
      <c r="C36" s="311">
        <v>994</v>
      </c>
      <c r="D36" s="311">
        <v>994</v>
      </c>
      <c r="E36" s="311">
        <v>67436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v>0</v>
      </c>
    </row>
    <row r="37" spans="1:13" ht="12.75">
      <c r="A37" s="201">
        <f t="shared" si="0"/>
        <v>26</v>
      </c>
      <c r="B37" s="201" t="s">
        <v>618</v>
      </c>
      <c r="C37" s="311">
        <v>971</v>
      </c>
      <c r="D37" s="311">
        <v>971</v>
      </c>
      <c r="E37" s="311">
        <v>54318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</row>
    <row r="38" spans="1:13" ht="12.75">
      <c r="A38" s="201">
        <f t="shared" si="0"/>
        <v>27</v>
      </c>
      <c r="B38" s="201" t="s">
        <v>619</v>
      </c>
      <c r="C38" s="311">
        <v>1034</v>
      </c>
      <c r="D38" s="311">
        <v>1034</v>
      </c>
      <c r="E38" s="311">
        <v>81361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v>0</v>
      </c>
      <c r="M38" s="311">
        <v>0</v>
      </c>
    </row>
    <row r="39" spans="1:13" ht="12.75">
      <c r="A39" s="201">
        <f t="shared" si="0"/>
        <v>28</v>
      </c>
      <c r="B39" s="143" t="s">
        <v>620</v>
      </c>
      <c r="C39" s="311">
        <v>514</v>
      </c>
      <c r="D39" s="311">
        <v>514</v>
      </c>
      <c r="E39" s="311">
        <v>39730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</row>
    <row r="40" spans="1:13" ht="12.75">
      <c r="A40" s="201">
        <f t="shared" si="0"/>
        <v>29</v>
      </c>
      <c r="B40" s="143" t="s">
        <v>621</v>
      </c>
      <c r="C40" s="311">
        <v>654</v>
      </c>
      <c r="D40" s="311">
        <v>654</v>
      </c>
      <c r="E40" s="311">
        <v>30851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  <c r="M40" s="311">
        <v>0</v>
      </c>
    </row>
    <row r="41" spans="1:13" ht="12.75">
      <c r="A41" s="201">
        <f t="shared" si="0"/>
        <v>30</v>
      </c>
      <c r="B41" s="143" t="s">
        <v>622</v>
      </c>
      <c r="C41" s="311">
        <v>525</v>
      </c>
      <c r="D41" s="311">
        <v>525</v>
      </c>
      <c r="E41" s="311">
        <v>38090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M41" s="311">
        <v>0</v>
      </c>
    </row>
    <row r="42" spans="1:13" ht="12.75">
      <c r="A42" s="201">
        <f t="shared" si="0"/>
        <v>31</v>
      </c>
      <c r="B42" s="143" t="s">
        <v>623</v>
      </c>
      <c r="C42" s="311">
        <v>678</v>
      </c>
      <c r="D42" s="311">
        <v>678</v>
      </c>
      <c r="E42" s="311">
        <v>37993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  <c r="M42" s="311">
        <v>0</v>
      </c>
    </row>
    <row r="43" spans="1:13" s="5" customFormat="1" ht="12.75">
      <c r="A43" s="150"/>
      <c r="B43" s="150" t="s">
        <v>624</v>
      </c>
      <c r="C43" s="285">
        <f>SUM(C12:C42)</f>
        <v>26272</v>
      </c>
      <c r="D43" s="285">
        <f aca="true" t="shared" si="1" ref="D43:M43">SUM(D12:D42)</f>
        <v>26272</v>
      </c>
      <c r="E43" s="285">
        <f t="shared" si="1"/>
        <v>1724709</v>
      </c>
      <c r="F43" s="285">
        <f t="shared" si="1"/>
        <v>0</v>
      </c>
      <c r="G43" s="285">
        <f t="shared" si="1"/>
        <v>1</v>
      </c>
      <c r="H43" s="285">
        <f t="shared" si="1"/>
        <v>508</v>
      </c>
      <c r="I43" s="285">
        <f t="shared" si="1"/>
        <v>47523</v>
      </c>
      <c r="J43" s="285">
        <f t="shared" si="1"/>
        <v>0</v>
      </c>
      <c r="K43" s="285">
        <f t="shared" si="1"/>
        <v>3</v>
      </c>
      <c r="L43" s="285">
        <f t="shared" si="1"/>
        <v>952</v>
      </c>
      <c r="M43" s="285">
        <f t="shared" si="1"/>
        <v>141636</v>
      </c>
    </row>
    <row r="44" spans="1:16" ht="12.75">
      <c r="A44" s="212"/>
      <c r="B44" s="212"/>
      <c r="C44" s="212"/>
      <c r="D44" s="212"/>
      <c r="E44" s="21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5" customFormat="1" ht="27.75" customHeight="1">
      <c r="A45" s="386"/>
      <c r="B45" s="387" t="s">
        <v>690</v>
      </c>
      <c r="C45" s="386"/>
      <c r="D45" s="386"/>
      <c r="E45" s="386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</row>
    <row r="48" spans="10:13" ht="15.75">
      <c r="J48" s="621" t="s">
        <v>860</v>
      </c>
      <c r="K48" s="621"/>
      <c r="L48" s="621"/>
      <c r="M48" s="621"/>
    </row>
    <row r="49" spans="10:13" ht="15.75">
      <c r="J49" s="621" t="s">
        <v>653</v>
      </c>
      <c r="K49" s="621"/>
      <c r="L49" s="621"/>
      <c r="M49" s="621"/>
    </row>
    <row r="62" ht="12.75">
      <c r="G62" s="6">
        <f>1334*9</f>
        <v>12006</v>
      </c>
    </row>
  </sheetData>
  <sheetProtection/>
  <mergeCells count="12">
    <mergeCell ref="J49:M49"/>
    <mergeCell ref="A9:A10"/>
    <mergeCell ref="B9:B10"/>
    <mergeCell ref="F9:I9"/>
    <mergeCell ref="J9:M9"/>
    <mergeCell ref="C9:E9"/>
    <mergeCell ref="L1:M1"/>
    <mergeCell ref="A2:M2"/>
    <mergeCell ref="A3:M3"/>
    <mergeCell ref="A5:M5"/>
    <mergeCell ref="A7:B7"/>
    <mergeCell ref="J48:M48"/>
  </mergeCells>
  <printOptions horizontalCentered="1"/>
  <pageMargins left="0.42" right="0.33" top="0.48" bottom="0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5.8515625" style="6" customWidth="1"/>
    <col min="2" max="2" width="18.421875" style="6" customWidth="1"/>
    <col min="3" max="3" width="22.57421875" style="6" bestFit="1" customWidth="1"/>
    <col min="4" max="5" width="9.140625" style="6" customWidth="1"/>
    <col min="6" max="6" width="13.421875" style="6" customWidth="1"/>
    <col min="7" max="7" width="14.8515625" style="6" customWidth="1"/>
    <col min="8" max="8" width="12.421875" style="6" customWidth="1"/>
    <col min="9" max="9" width="15.28125" style="6" customWidth="1"/>
    <col min="10" max="10" width="14.28125" style="6" customWidth="1"/>
    <col min="11" max="11" width="13.8515625" style="6" customWidth="1"/>
    <col min="12" max="12" width="9.140625" style="6" hidden="1" customWidth="1"/>
    <col min="13" max="16384" width="9.140625" style="6" customWidth="1"/>
  </cols>
  <sheetData>
    <row r="1" spans="1:11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800" t="s">
        <v>521</v>
      </c>
      <c r="K1" s="800"/>
    </row>
    <row r="2" spans="1:11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4" spans="1:11" ht="12.75">
      <c r="A4" s="560" t="s">
        <v>520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</row>
    <row r="5" spans="1:12" ht="12.75">
      <c r="A5" s="76" t="s">
        <v>665</v>
      </c>
      <c r="B5" s="76"/>
      <c r="C5" s="76"/>
      <c r="D5" s="76"/>
      <c r="E5" s="76"/>
      <c r="F5" s="76"/>
      <c r="G5" s="76"/>
      <c r="H5" s="76"/>
      <c r="J5" s="725" t="s">
        <v>750</v>
      </c>
      <c r="K5" s="725"/>
      <c r="L5" s="725"/>
    </row>
    <row r="6" spans="1:11" ht="12.75">
      <c r="A6" s="530" t="s">
        <v>2</v>
      </c>
      <c r="B6" s="530" t="s">
        <v>3</v>
      </c>
      <c r="C6" s="530" t="s">
        <v>296</v>
      </c>
      <c r="D6" s="530" t="s">
        <v>297</v>
      </c>
      <c r="E6" s="530"/>
      <c r="F6" s="530"/>
      <c r="G6" s="530"/>
      <c r="H6" s="530"/>
      <c r="I6" s="537" t="s">
        <v>298</v>
      </c>
      <c r="J6" s="538"/>
      <c r="K6" s="539"/>
    </row>
    <row r="7" spans="1:11" ht="76.5">
      <c r="A7" s="530"/>
      <c r="B7" s="530"/>
      <c r="C7" s="530"/>
      <c r="D7" s="1" t="s">
        <v>299</v>
      </c>
      <c r="E7" s="1" t="s">
        <v>196</v>
      </c>
      <c r="F7" s="1" t="s">
        <v>443</v>
      </c>
      <c r="G7" s="1" t="s">
        <v>300</v>
      </c>
      <c r="H7" s="1" t="s">
        <v>414</v>
      </c>
      <c r="I7" s="1" t="s">
        <v>301</v>
      </c>
      <c r="J7" s="1" t="s">
        <v>302</v>
      </c>
      <c r="K7" s="1" t="s">
        <v>303</v>
      </c>
    </row>
    <row r="8" spans="1:11" ht="12.7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149" t="s">
        <v>266</v>
      </c>
      <c r="I8" s="149" t="s">
        <v>285</v>
      </c>
      <c r="J8" s="149" t="s">
        <v>286</v>
      </c>
      <c r="K8" s="149" t="s">
        <v>287</v>
      </c>
    </row>
    <row r="9" spans="1:11" ht="12.75">
      <c r="A9" s="201">
        <v>1</v>
      </c>
      <c r="B9" s="201" t="s">
        <v>634</v>
      </c>
      <c r="C9" s="48" t="s">
        <v>664</v>
      </c>
      <c r="D9" s="340">
        <v>883</v>
      </c>
      <c r="E9" s="340">
        <v>130308</v>
      </c>
      <c r="F9" s="340">
        <v>283</v>
      </c>
      <c r="G9" s="340">
        <v>862</v>
      </c>
      <c r="H9" s="340">
        <v>1145</v>
      </c>
      <c r="I9" s="340">
        <v>0</v>
      </c>
      <c r="J9" s="340">
        <v>85.88</v>
      </c>
      <c r="K9" s="340">
        <v>85.88</v>
      </c>
    </row>
    <row r="10" spans="1:11" ht="12.75">
      <c r="A10" s="201">
        <v>2</v>
      </c>
      <c r="B10" s="201" t="s">
        <v>609</v>
      </c>
      <c r="C10" s="48" t="s">
        <v>664</v>
      </c>
      <c r="D10" s="340">
        <v>17</v>
      </c>
      <c r="E10" s="340">
        <v>2475</v>
      </c>
      <c r="F10" s="340">
        <v>0</v>
      </c>
      <c r="G10" s="340">
        <v>17</v>
      </c>
      <c r="H10" s="340">
        <v>17</v>
      </c>
      <c r="I10" s="340">
        <v>0</v>
      </c>
      <c r="J10" s="340">
        <v>1.36</v>
      </c>
      <c r="K10" s="340">
        <v>1.36</v>
      </c>
    </row>
    <row r="11" spans="1:11" ht="12.75">
      <c r="A11" s="201">
        <v>3</v>
      </c>
      <c r="B11" s="201" t="s">
        <v>615</v>
      </c>
      <c r="C11" s="48" t="s">
        <v>664</v>
      </c>
      <c r="D11" s="143">
        <v>52</v>
      </c>
      <c r="E11" s="143">
        <v>8853</v>
      </c>
      <c r="F11" s="143">
        <v>150</v>
      </c>
      <c r="G11" s="143">
        <v>0</v>
      </c>
      <c r="H11" s="340">
        <v>200</v>
      </c>
      <c r="I11" s="143">
        <v>15</v>
      </c>
      <c r="J11" s="143">
        <v>0</v>
      </c>
      <c r="K11" s="340">
        <v>15</v>
      </c>
    </row>
    <row r="12" spans="1:11" ht="12.75">
      <c r="A12" s="201">
        <v>4</v>
      </c>
      <c r="B12" s="201" t="s">
        <v>616</v>
      </c>
      <c r="C12" s="75" t="s">
        <v>663</v>
      </c>
      <c r="D12" s="143">
        <v>508</v>
      </c>
      <c r="E12" s="143">
        <v>47523</v>
      </c>
      <c r="F12" s="143">
        <v>105</v>
      </c>
      <c r="G12" s="143">
        <v>508</v>
      </c>
      <c r="H12" s="340">
        <v>613</v>
      </c>
      <c r="I12" s="143">
        <v>9.45</v>
      </c>
      <c r="J12" s="143">
        <v>45.720000000000006</v>
      </c>
      <c r="K12" s="340">
        <v>55.17000000000001</v>
      </c>
    </row>
    <row r="13" spans="1:11" s="5" customFormat="1" ht="12.75">
      <c r="A13" s="150"/>
      <c r="B13" s="150" t="s">
        <v>624</v>
      </c>
      <c r="C13" s="150"/>
      <c r="D13" s="144">
        <f aca="true" t="shared" si="0" ref="D13:K13">SUM(D9:D12)</f>
        <v>1460</v>
      </c>
      <c r="E13" s="144">
        <f t="shared" si="0"/>
        <v>189159</v>
      </c>
      <c r="F13" s="144">
        <f t="shared" si="0"/>
        <v>538</v>
      </c>
      <c r="G13" s="144">
        <f t="shared" si="0"/>
        <v>1387</v>
      </c>
      <c r="H13" s="144">
        <f t="shared" si="0"/>
        <v>1975</v>
      </c>
      <c r="I13" s="144">
        <f t="shared" si="0"/>
        <v>24.45</v>
      </c>
      <c r="J13" s="144">
        <f t="shared" si="0"/>
        <v>132.96</v>
      </c>
      <c r="K13" s="144">
        <f t="shared" si="0"/>
        <v>157.41</v>
      </c>
    </row>
    <row r="14" ht="12.75">
      <c r="C14" s="339"/>
    </row>
    <row r="15" ht="12.75">
      <c r="A15" s="5" t="s">
        <v>444</v>
      </c>
    </row>
    <row r="19" spans="8:11" ht="15.75">
      <c r="H19" s="621" t="s">
        <v>860</v>
      </c>
      <c r="I19" s="621"/>
      <c r="J19" s="621"/>
      <c r="K19" s="621"/>
    </row>
    <row r="20" spans="8:11" ht="15.75">
      <c r="H20" s="621" t="s">
        <v>653</v>
      </c>
      <c r="I20" s="621"/>
      <c r="J20" s="621"/>
      <c r="K20" s="621"/>
    </row>
  </sheetData>
  <sheetProtection/>
  <mergeCells count="12">
    <mergeCell ref="D6:H6"/>
    <mergeCell ref="I6:K6"/>
    <mergeCell ref="H19:K19"/>
    <mergeCell ref="H20:K20"/>
    <mergeCell ref="A1:I1"/>
    <mergeCell ref="J1:K1"/>
    <mergeCell ref="A2:K2"/>
    <mergeCell ref="A4:K4"/>
    <mergeCell ref="J5:L5"/>
    <mergeCell ref="A6:A7"/>
    <mergeCell ref="B6:B7"/>
    <mergeCell ref="C6:C7"/>
  </mergeCells>
  <printOptions horizontalCentered="1"/>
  <pageMargins left="0.44" right="0.44" top="0.5" bottom="0" header="0.31496062992125984" footer="0.31496062992125984"/>
  <pageSetup fitToHeight="1" fitToWidth="1" horizontalDpi="600" verticalDpi="600" orientation="landscape" paperSize="9" scale="9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8515625" style="6" customWidth="1"/>
    <col min="2" max="2" width="14.7109375" style="6" bestFit="1" customWidth="1"/>
    <col min="3" max="3" width="9.140625" style="6" customWidth="1"/>
    <col min="4" max="4" width="22.57421875" style="6" bestFit="1" customWidth="1"/>
    <col min="5" max="6" width="9.140625" style="6" customWidth="1"/>
    <col min="7" max="7" width="12.28125" style="6" customWidth="1"/>
    <col min="8" max="8" width="11.57421875" style="6" customWidth="1"/>
    <col min="9" max="12" width="10.421875" style="6" customWidth="1"/>
    <col min="13" max="13" width="11.00390625" style="6" customWidth="1"/>
    <col min="14" max="14" width="10.00390625" style="6" customWidth="1"/>
    <col min="15" max="15" width="11.8515625" style="6" customWidth="1"/>
    <col min="16" max="16" width="10.00390625" style="6" customWidth="1"/>
    <col min="17" max="16384" width="9.140625" style="6" customWidth="1"/>
  </cols>
  <sheetData>
    <row r="1" spans="1:15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209" t="s">
        <v>523</v>
      </c>
    </row>
    <row r="2" spans="1:15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4" spans="1:15" ht="15.75">
      <c r="A4" s="562" t="s">
        <v>522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15" ht="12.75">
      <c r="A5" s="76" t="s">
        <v>665</v>
      </c>
      <c r="B5" s="76"/>
      <c r="C5" s="76"/>
      <c r="D5" s="76"/>
      <c r="E5" s="76"/>
      <c r="F5" s="76"/>
      <c r="G5" s="76"/>
      <c r="H5" s="76"/>
      <c r="I5" s="76"/>
      <c r="J5" s="76"/>
      <c r="M5" s="656" t="s">
        <v>750</v>
      </c>
      <c r="N5" s="656"/>
      <c r="O5" s="656"/>
    </row>
    <row r="6" spans="1:15" ht="44.25" customHeight="1">
      <c r="A6" s="530" t="s">
        <v>2</v>
      </c>
      <c r="B6" s="530" t="s">
        <v>3</v>
      </c>
      <c r="C6" s="530" t="s">
        <v>304</v>
      </c>
      <c r="D6" s="642" t="s">
        <v>305</v>
      </c>
      <c r="E6" s="642" t="s">
        <v>306</v>
      </c>
      <c r="F6" s="642" t="s">
        <v>307</v>
      </c>
      <c r="G6" s="642" t="s">
        <v>308</v>
      </c>
      <c r="H6" s="530" t="s">
        <v>309</v>
      </c>
      <c r="I6" s="530"/>
      <c r="J6" s="530" t="s">
        <v>310</v>
      </c>
      <c r="K6" s="530"/>
      <c r="L6" s="530" t="s">
        <v>311</v>
      </c>
      <c r="M6" s="530"/>
      <c r="N6" s="530" t="s">
        <v>312</v>
      </c>
      <c r="O6" s="530"/>
    </row>
    <row r="7" spans="1:15" ht="54" customHeight="1">
      <c r="A7" s="530"/>
      <c r="B7" s="530"/>
      <c r="C7" s="530"/>
      <c r="D7" s="643"/>
      <c r="E7" s="643"/>
      <c r="F7" s="643"/>
      <c r="G7" s="643"/>
      <c r="H7" s="1" t="s">
        <v>313</v>
      </c>
      <c r="I7" s="1" t="s">
        <v>314</v>
      </c>
      <c r="J7" s="1" t="s">
        <v>313</v>
      </c>
      <c r="K7" s="1" t="s">
        <v>314</v>
      </c>
      <c r="L7" s="1" t="s">
        <v>313</v>
      </c>
      <c r="M7" s="1" t="s">
        <v>314</v>
      </c>
      <c r="N7" s="1" t="s">
        <v>313</v>
      </c>
      <c r="O7" s="1" t="s">
        <v>314</v>
      </c>
    </row>
    <row r="8" spans="1:15" ht="12.75">
      <c r="A8" s="149" t="s">
        <v>259</v>
      </c>
      <c r="B8" s="149" t="s">
        <v>260</v>
      </c>
      <c r="C8" s="149" t="s">
        <v>261</v>
      </c>
      <c r="D8" s="149" t="s">
        <v>262</v>
      </c>
      <c r="E8" s="273" t="s">
        <v>263</v>
      </c>
      <c r="F8" s="273" t="s">
        <v>264</v>
      </c>
      <c r="G8" s="273" t="s">
        <v>265</v>
      </c>
      <c r="H8" s="273" t="s">
        <v>266</v>
      </c>
      <c r="I8" s="273" t="s">
        <v>285</v>
      </c>
      <c r="J8" s="273" t="s">
        <v>286</v>
      </c>
      <c r="K8" s="273" t="s">
        <v>287</v>
      </c>
      <c r="L8" s="273" t="s">
        <v>315</v>
      </c>
      <c r="M8" s="273" t="s">
        <v>316</v>
      </c>
      <c r="N8" s="273" t="s">
        <v>317</v>
      </c>
      <c r="O8" s="273" t="s">
        <v>318</v>
      </c>
    </row>
    <row r="9" spans="1:15" ht="12.75">
      <c r="A9" s="201">
        <v>1</v>
      </c>
      <c r="B9" s="201" t="s">
        <v>634</v>
      </c>
      <c r="C9" s="271">
        <v>1</v>
      </c>
      <c r="D9" s="48" t="s">
        <v>664</v>
      </c>
      <c r="E9" s="271">
        <v>883</v>
      </c>
      <c r="F9" s="271">
        <v>130308</v>
      </c>
      <c r="G9" s="271" t="s">
        <v>850</v>
      </c>
      <c r="H9" s="271">
        <v>2539.2</v>
      </c>
      <c r="I9" s="271">
        <v>1651.056</v>
      </c>
      <c r="J9" s="271">
        <v>690.78</v>
      </c>
      <c r="K9" s="271">
        <v>656.31</v>
      </c>
      <c r="L9" s="75">
        <v>166.08</v>
      </c>
      <c r="M9" s="75">
        <v>85.88</v>
      </c>
      <c r="N9" s="75">
        <v>10.37</v>
      </c>
      <c r="O9" s="75">
        <v>3.49</v>
      </c>
    </row>
    <row r="10" spans="1:15" ht="12.75">
      <c r="A10" s="201">
        <v>2</v>
      </c>
      <c r="B10" s="201" t="s">
        <v>609</v>
      </c>
      <c r="C10" s="272" t="s">
        <v>7</v>
      </c>
      <c r="D10" s="272" t="s">
        <v>7</v>
      </c>
      <c r="E10" s="48" t="s">
        <v>7</v>
      </c>
      <c r="F10" s="48" t="s">
        <v>7</v>
      </c>
      <c r="G10" s="48" t="s">
        <v>7</v>
      </c>
      <c r="H10" s="48" t="s">
        <v>7</v>
      </c>
      <c r="I10" s="48" t="s">
        <v>7</v>
      </c>
      <c r="J10" s="48" t="s">
        <v>7</v>
      </c>
      <c r="K10" s="48" t="s">
        <v>7</v>
      </c>
      <c r="L10" s="48" t="s">
        <v>7</v>
      </c>
      <c r="M10" s="48" t="s">
        <v>7</v>
      </c>
      <c r="N10" s="48" t="s">
        <v>7</v>
      </c>
      <c r="O10" s="48" t="s">
        <v>7</v>
      </c>
    </row>
    <row r="11" spans="1:15" ht="12.75">
      <c r="A11" s="201">
        <v>3</v>
      </c>
      <c r="B11" s="201" t="s">
        <v>615</v>
      </c>
      <c r="C11" s="272" t="s">
        <v>7</v>
      </c>
      <c r="D11" s="272" t="s">
        <v>7</v>
      </c>
      <c r="E11" s="272" t="s">
        <v>7</v>
      </c>
      <c r="F11" s="272" t="s">
        <v>7</v>
      </c>
      <c r="G11" s="272" t="s">
        <v>7</v>
      </c>
      <c r="H11" s="272" t="s">
        <v>7</v>
      </c>
      <c r="I11" s="272" t="s">
        <v>7</v>
      </c>
      <c r="J11" s="272" t="s">
        <v>7</v>
      </c>
      <c r="K11" s="272" t="s">
        <v>7</v>
      </c>
      <c r="L11" s="272" t="s">
        <v>7</v>
      </c>
      <c r="M11" s="272" t="s">
        <v>7</v>
      </c>
      <c r="N11" s="272" t="s">
        <v>7</v>
      </c>
      <c r="O11" s="272" t="s">
        <v>7</v>
      </c>
    </row>
    <row r="12" spans="1:15" ht="12.75">
      <c r="A12" s="201">
        <v>4</v>
      </c>
      <c r="B12" s="201" t="s">
        <v>616</v>
      </c>
      <c r="C12" s="75">
        <v>1</v>
      </c>
      <c r="D12" s="75" t="s">
        <v>854</v>
      </c>
      <c r="E12" s="75">
        <v>508</v>
      </c>
      <c r="F12" s="75">
        <v>47523</v>
      </c>
      <c r="G12" s="75">
        <v>0</v>
      </c>
      <c r="H12" s="374">
        <v>740.9</v>
      </c>
      <c r="I12" s="374">
        <v>740.9</v>
      </c>
      <c r="J12" s="374">
        <v>476.12999999999994</v>
      </c>
      <c r="K12" s="374">
        <v>428.51699999999994</v>
      </c>
      <c r="L12" s="374">
        <v>10.5</v>
      </c>
      <c r="M12" s="374">
        <v>8.4</v>
      </c>
      <c r="N12" s="374">
        <v>0</v>
      </c>
      <c r="O12" s="374">
        <v>0</v>
      </c>
    </row>
    <row r="13" spans="1:15" s="5" customFormat="1" ht="12.75">
      <c r="A13" s="150"/>
      <c r="B13" s="150" t="s">
        <v>624</v>
      </c>
      <c r="C13" s="17"/>
      <c r="D13" s="17"/>
      <c r="E13" s="150">
        <f>SUM(E9:E12)</f>
        <v>1391</v>
      </c>
      <c r="F13" s="150">
        <f aca="true" t="shared" si="0" ref="F13:O13">SUM(F9:F12)</f>
        <v>177831</v>
      </c>
      <c r="G13" s="150">
        <f t="shared" si="0"/>
        <v>0</v>
      </c>
      <c r="H13" s="375">
        <f t="shared" si="0"/>
        <v>3280.1</v>
      </c>
      <c r="I13" s="375">
        <f t="shared" si="0"/>
        <v>2391.956</v>
      </c>
      <c r="J13" s="375">
        <f t="shared" si="0"/>
        <v>1166.9099999999999</v>
      </c>
      <c r="K13" s="375">
        <f t="shared" si="0"/>
        <v>1084.8269999999998</v>
      </c>
      <c r="L13" s="375">
        <f t="shared" si="0"/>
        <v>176.58</v>
      </c>
      <c r="M13" s="375">
        <f t="shared" si="0"/>
        <v>94.28</v>
      </c>
      <c r="N13" s="375">
        <f t="shared" si="0"/>
        <v>10.37</v>
      </c>
      <c r="O13" s="375">
        <f t="shared" si="0"/>
        <v>3.49</v>
      </c>
    </row>
    <row r="14" spans="5:15" ht="12.75"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</row>
    <row r="17" spans="11:15" ht="15.75">
      <c r="K17" s="621" t="s">
        <v>860</v>
      </c>
      <c r="L17" s="621"/>
      <c r="M17" s="621"/>
      <c r="N17" s="621"/>
      <c r="O17" s="621"/>
    </row>
    <row r="18" spans="11:15" ht="15.75">
      <c r="K18" s="621" t="s">
        <v>653</v>
      </c>
      <c r="L18" s="621"/>
      <c r="M18" s="621"/>
      <c r="N18" s="621"/>
      <c r="O18" s="621"/>
    </row>
  </sheetData>
  <sheetProtection/>
  <mergeCells count="17">
    <mergeCell ref="K18:O18"/>
    <mergeCell ref="G6:G7"/>
    <mergeCell ref="H6:I6"/>
    <mergeCell ref="J6:K6"/>
    <mergeCell ref="L6:M6"/>
    <mergeCell ref="N6:O6"/>
    <mergeCell ref="K17:O17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42" right="0.39" top="0.43" bottom="0" header="0.31496062992125984" footer="0.31496062992125984"/>
  <pageSetup fitToHeight="1" fitToWidth="1" horizontalDpi="600" verticalDpi="600" orientation="landscape" paperSize="9" scale="7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8.57421875" style="106" customWidth="1"/>
    <col min="2" max="2" width="24.57421875" style="106" customWidth="1"/>
    <col min="3" max="4" width="15.140625" style="106" customWidth="1"/>
    <col min="5" max="16" width="9.57421875" style="106" customWidth="1"/>
    <col min="17" max="16384" width="9.140625" style="106" customWidth="1"/>
  </cols>
  <sheetData>
    <row r="1" spans="8:15" ht="12.75">
      <c r="H1" s="801"/>
      <c r="I1" s="801"/>
      <c r="O1" s="107" t="s">
        <v>524</v>
      </c>
    </row>
    <row r="2" spans="1:16" ht="15.75">
      <c r="A2" s="687" t="s">
        <v>476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16" s="108" customFormat="1" ht="15.75">
      <c r="A3" s="802" t="s">
        <v>697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1:16" s="108" customFormat="1" ht="20.25" customHeight="1">
      <c r="A4" s="802" t="s">
        <v>731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6" spans="1:13" ht="12.75">
      <c r="A6" s="109" t="s">
        <v>665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8" spans="1:16" s="111" customFormat="1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803" t="s">
        <v>750</v>
      </c>
      <c r="O8" s="803"/>
      <c r="P8" s="803"/>
    </row>
    <row r="9" spans="1:16" s="111" customFormat="1" ht="20.25" customHeight="1">
      <c r="A9" s="642" t="s">
        <v>2</v>
      </c>
      <c r="B9" s="642" t="s">
        <v>3</v>
      </c>
      <c r="C9" s="805" t="s">
        <v>268</v>
      </c>
      <c r="D9" s="805" t="s">
        <v>269</v>
      </c>
      <c r="E9" s="807" t="s">
        <v>270</v>
      </c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</row>
    <row r="10" spans="1:16" s="111" customFormat="1" ht="35.25" customHeight="1">
      <c r="A10" s="804"/>
      <c r="B10" s="804"/>
      <c r="C10" s="806"/>
      <c r="D10" s="806"/>
      <c r="E10" s="136" t="s">
        <v>810</v>
      </c>
      <c r="F10" s="136" t="s">
        <v>271</v>
      </c>
      <c r="G10" s="136" t="s">
        <v>272</v>
      </c>
      <c r="H10" s="136" t="s">
        <v>273</v>
      </c>
      <c r="I10" s="136" t="s">
        <v>274</v>
      </c>
      <c r="J10" s="136" t="s">
        <v>275</v>
      </c>
      <c r="K10" s="136" t="s">
        <v>276</v>
      </c>
      <c r="L10" s="136" t="s">
        <v>277</v>
      </c>
      <c r="M10" s="136" t="s">
        <v>811</v>
      </c>
      <c r="N10" s="136" t="s">
        <v>812</v>
      </c>
      <c r="O10" s="136" t="s">
        <v>813</v>
      </c>
      <c r="P10" s="136" t="s">
        <v>814</v>
      </c>
    </row>
    <row r="11" spans="1:16" s="111" customFormat="1" ht="12.7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11</v>
      </c>
      <c r="O11" s="31">
        <v>12</v>
      </c>
      <c r="P11" s="31">
        <v>13</v>
      </c>
    </row>
    <row r="12" spans="1:16" s="111" customFormat="1" ht="12.75" customHeight="1">
      <c r="A12" s="201">
        <v>1</v>
      </c>
      <c r="B12" s="201" t="s">
        <v>633</v>
      </c>
      <c r="C12" s="384">
        <v>1195</v>
      </c>
      <c r="D12" s="384">
        <v>1141</v>
      </c>
      <c r="E12" s="291">
        <v>1141</v>
      </c>
      <c r="F12" s="291">
        <v>1141</v>
      </c>
      <c r="G12" s="291">
        <v>1141</v>
      </c>
      <c r="H12" s="291">
        <v>1141</v>
      </c>
      <c r="I12" s="291">
        <v>1141</v>
      </c>
      <c r="J12" s="291">
        <v>1141</v>
      </c>
      <c r="K12" s="291">
        <v>1141</v>
      </c>
      <c r="L12" s="291">
        <v>1141</v>
      </c>
      <c r="M12" s="291">
        <v>1141</v>
      </c>
      <c r="N12" s="291">
        <v>1141</v>
      </c>
      <c r="O12" s="291">
        <v>1141</v>
      </c>
      <c r="P12" s="291">
        <v>1141</v>
      </c>
    </row>
    <row r="13" spans="1:16" s="111" customFormat="1" ht="12.75" customHeight="1">
      <c r="A13" s="201">
        <v>2</v>
      </c>
      <c r="B13" s="201" t="s">
        <v>598</v>
      </c>
      <c r="C13" s="384">
        <v>1324</v>
      </c>
      <c r="D13" s="384">
        <v>1356</v>
      </c>
      <c r="E13" s="291">
        <v>1356</v>
      </c>
      <c r="F13" s="291">
        <v>1356</v>
      </c>
      <c r="G13" s="291">
        <v>1356</v>
      </c>
      <c r="H13" s="291">
        <v>1356</v>
      </c>
      <c r="I13" s="291">
        <v>1356</v>
      </c>
      <c r="J13" s="291">
        <v>1356</v>
      </c>
      <c r="K13" s="291">
        <v>1356</v>
      </c>
      <c r="L13" s="291">
        <v>1356</v>
      </c>
      <c r="M13" s="291">
        <v>1356</v>
      </c>
      <c r="N13" s="291">
        <v>1356</v>
      </c>
      <c r="O13" s="291">
        <v>1356</v>
      </c>
      <c r="P13" s="291">
        <v>1356</v>
      </c>
    </row>
    <row r="14" spans="1:16" s="111" customFormat="1" ht="12.75" customHeight="1">
      <c r="A14" s="201">
        <v>3</v>
      </c>
      <c r="B14" s="201" t="s">
        <v>634</v>
      </c>
      <c r="C14" s="384">
        <v>959</v>
      </c>
      <c r="D14" s="384">
        <v>858</v>
      </c>
      <c r="E14" s="291">
        <v>858</v>
      </c>
      <c r="F14" s="291">
        <v>858</v>
      </c>
      <c r="G14" s="291">
        <v>858</v>
      </c>
      <c r="H14" s="291">
        <v>858</v>
      </c>
      <c r="I14" s="291">
        <v>858</v>
      </c>
      <c r="J14" s="291">
        <v>858</v>
      </c>
      <c r="K14" s="291">
        <v>858</v>
      </c>
      <c r="L14" s="291">
        <v>858</v>
      </c>
      <c r="M14" s="291">
        <v>858</v>
      </c>
      <c r="N14" s="291">
        <v>858</v>
      </c>
      <c r="O14" s="291">
        <v>858</v>
      </c>
      <c r="P14" s="291">
        <v>858</v>
      </c>
    </row>
    <row r="15" spans="1:16" s="111" customFormat="1" ht="12.75" customHeight="1">
      <c r="A15" s="201">
        <v>4</v>
      </c>
      <c r="B15" s="201" t="s">
        <v>681</v>
      </c>
      <c r="C15" s="384">
        <v>805</v>
      </c>
      <c r="D15" s="384">
        <v>803</v>
      </c>
      <c r="E15" s="291">
        <v>799</v>
      </c>
      <c r="F15" s="291">
        <v>799</v>
      </c>
      <c r="G15" s="291">
        <v>799</v>
      </c>
      <c r="H15" s="291">
        <v>799</v>
      </c>
      <c r="I15" s="291">
        <v>799</v>
      </c>
      <c r="J15" s="291">
        <v>799</v>
      </c>
      <c r="K15" s="291">
        <v>799</v>
      </c>
      <c r="L15" s="291">
        <v>799</v>
      </c>
      <c r="M15" s="291">
        <v>799</v>
      </c>
      <c r="N15" s="291">
        <v>799</v>
      </c>
      <c r="O15" s="291">
        <v>799</v>
      </c>
      <c r="P15" s="291">
        <v>799</v>
      </c>
    </row>
    <row r="16" spans="1:16" s="111" customFormat="1" ht="12.75" customHeight="1">
      <c r="A16" s="201">
        <v>5</v>
      </c>
      <c r="B16" s="201" t="s">
        <v>682</v>
      </c>
      <c r="C16" s="384">
        <v>557</v>
      </c>
      <c r="D16" s="384">
        <v>552</v>
      </c>
      <c r="E16" s="291">
        <v>548</v>
      </c>
      <c r="F16" s="291">
        <v>548</v>
      </c>
      <c r="G16" s="291">
        <v>548</v>
      </c>
      <c r="H16" s="291">
        <v>548</v>
      </c>
      <c r="I16" s="291">
        <v>548</v>
      </c>
      <c r="J16" s="291">
        <v>548</v>
      </c>
      <c r="K16" s="291">
        <v>548</v>
      </c>
      <c r="L16" s="291">
        <v>548</v>
      </c>
      <c r="M16" s="291">
        <v>548</v>
      </c>
      <c r="N16" s="291">
        <v>548</v>
      </c>
      <c r="O16" s="291">
        <v>548</v>
      </c>
      <c r="P16" s="291">
        <v>548</v>
      </c>
    </row>
    <row r="17" spans="1:16" s="111" customFormat="1" ht="12.75" customHeight="1">
      <c r="A17" s="201">
        <v>6</v>
      </c>
      <c r="B17" s="201" t="s">
        <v>601</v>
      </c>
      <c r="C17" s="384">
        <v>899</v>
      </c>
      <c r="D17" s="384">
        <v>925</v>
      </c>
      <c r="E17" s="291">
        <v>919</v>
      </c>
      <c r="F17" s="291">
        <v>919</v>
      </c>
      <c r="G17" s="291">
        <v>919</v>
      </c>
      <c r="H17" s="291">
        <v>919</v>
      </c>
      <c r="I17" s="291">
        <v>919</v>
      </c>
      <c r="J17" s="291">
        <v>919</v>
      </c>
      <c r="K17" s="291">
        <v>919</v>
      </c>
      <c r="L17" s="291">
        <v>919</v>
      </c>
      <c r="M17" s="291">
        <v>919</v>
      </c>
      <c r="N17" s="291">
        <v>919</v>
      </c>
      <c r="O17" s="291">
        <v>919</v>
      </c>
      <c r="P17" s="291">
        <v>918</v>
      </c>
    </row>
    <row r="18" spans="1:16" s="111" customFormat="1" ht="12.75" customHeight="1">
      <c r="A18" s="201">
        <v>7</v>
      </c>
      <c r="B18" s="201" t="s">
        <v>602</v>
      </c>
      <c r="C18" s="384">
        <v>466</v>
      </c>
      <c r="D18" s="384">
        <v>465</v>
      </c>
      <c r="E18" s="291">
        <v>463</v>
      </c>
      <c r="F18" s="291">
        <v>463</v>
      </c>
      <c r="G18" s="291">
        <v>463</v>
      </c>
      <c r="H18" s="291">
        <v>463</v>
      </c>
      <c r="I18" s="291">
        <v>463</v>
      </c>
      <c r="J18" s="291">
        <v>463</v>
      </c>
      <c r="K18" s="291">
        <v>463</v>
      </c>
      <c r="L18" s="291">
        <v>463</v>
      </c>
      <c r="M18" s="291">
        <v>463</v>
      </c>
      <c r="N18" s="291">
        <v>463</v>
      </c>
      <c r="O18" s="291">
        <v>463</v>
      </c>
      <c r="P18" s="291">
        <v>463</v>
      </c>
    </row>
    <row r="19" spans="1:16" s="111" customFormat="1" ht="12.75" customHeight="1">
      <c r="A19" s="201">
        <v>8</v>
      </c>
      <c r="B19" s="201" t="s">
        <v>603</v>
      </c>
      <c r="C19" s="384">
        <v>1030</v>
      </c>
      <c r="D19" s="384">
        <v>1024</v>
      </c>
      <c r="E19" s="291">
        <v>1018</v>
      </c>
      <c r="F19" s="291">
        <v>1018</v>
      </c>
      <c r="G19" s="291">
        <v>1018</v>
      </c>
      <c r="H19" s="291">
        <v>1018</v>
      </c>
      <c r="I19" s="291">
        <v>1018</v>
      </c>
      <c r="J19" s="291">
        <v>1018</v>
      </c>
      <c r="K19" s="291">
        <v>1018</v>
      </c>
      <c r="L19" s="291">
        <v>1018</v>
      </c>
      <c r="M19" s="291">
        <v>1018</v>
      </c>
      <c r="N19" s="291">
        <v>1018</v>
      </c>
      <c r="O19" s="291">
        <v>1018</v>
      </c>
      <c r="P19" s="291">
        <v>1018</v>
      </c>
    </row>
    <row r="20" spans="1:16" s="111" customFormat="1" ht="12.75" customHeight="1">
      <c r="A20" s="201">
        <v>9</v>
      </c>
      <c r="B20" s="201" t="s">
        <v>604</v>
      </c>
      <c r="C20" s="384">
        <v>685</v>
      </c>
      <c r="D20" s="384">
        <v>660</v>
      </c>
      <c r="E20" s="291">
        <v>655</v>
      </c>
      <c r="F20" s="291">
        <v>655</v>
      </c>
      <c r="G20" s="291">
        <v>655</v>
      </c>
      <c r="H20" s="291">
        <v>655</v>
      </c>
      <c r="I20" s="291">
        <v>655</v>
      </c>
      <c r="J20" s="291">
        <v>655</v>
      </c>
      <c r="K20" s="291">
        <v>655</v>
      </c>
      <c r="L20" s="291">
        <v>655</v>
      </c>
      <c r="M20" s="291">
        <v>655</v>
      </c>
      <c r="N20" s="291">
        <v>655</v>
      </c>
      <c r="O20" s="291">
        <v>655</v>
      </c>
      <c r="P20" s="291">
        <v>655</v>
      </c>
    </row>
    <row r="21" spans="1:16" s="111" customFormat="1" ht="12.75" customHeight="1">
      <c r="A21" s="201">
        <v>10</v>
      </c>
      <c r="B21" s="201" t="s">
        <v>605</v>
      </c>
      <c r="C21" s="384">
        <v>1259</v>
      </c>
      <c r="D21" s="384">
        <v>1294</v>
      </c>
      <c r="E21" s="291">
        <v>1293</v>
      </c>
      <c r="F21" s="291">
        <v>1293</v>
      </c>
      <c r="G21" s="291">
        <v>1293</v>
      </c>
      <c r="H21" s="291">
        <v>1293</v>
      </c>
      <c r="I21" s="291">
        <v>1293</v>
      </c>
      <c r="J21" s="291">
        <v>1293</v>
      </c>
      <c r="K21" s="291">
        <v>1293</v>
      </c>
      <c r="L21" s="291">
        <v>1293</v>
      </c>
      <c r="M21" s="291">
        <v>1293</v>
      </c>
      <c r="N21" s="291">
        <v>1293</v>
      </c>
      <c r="O21" s="291">
        <v>1293</v>
      </c>
      <c r="P21" s="291">
        <v>1290</v>
      </c>
    </row>
    <row r="22" spans="1:16" s="111" customFormat="1" ht="12.75" customHeight="1">
      <c r="A22" s="201">
        <v>11</v>
      </c>
      <c r="B22" s="201" t="s">
        <v>683</v>
      </c>
      <c r="C22" s="384">
        <v>1068</v>
      </c>
      <c r="D22" s="384">
        <v>1030</v>
      </c>
      <c r="E22" s="291">
        <v>1010</v>
      </c>
      <c r="F22" s="291">
        <v>1010</v>
      </c>
      <c r="G22" s="291">
        <v>1010</v>
      </c>
      <c r="H22" s="291">
        <v>1010</v>
      </c>
      <c r="I22" s="291">
        <v>1010</v>
      </c>
      <c r="J22" s="291">
        <v>1010</v>
      </c>
      <c r="K22" s="291">
        <v>1010</v>
      </c>
      <c r="L22" s="291">
        <v>1010</v>
      </c>
      <c r="M22" s="291">
        <v>1010</v>
      </c>
      <c r="N22" s="291">
        <v>1010</v>
      </c>
      <c r="O22" s="291">
        <v>1010</v>
      </c>
      <c r="P22" s="291">
        <v>1010</v>
      </c>
    </row>
    <row r="23" spans="1:16" s="111" customFormat="1" ht="12.75" customHeight="1">
      <c r="A23" s="201">
        <v>12</v>
      </c>
      <c r="B23" s="201" t="s">
        <v>606</v>
      </c>
      <c r="C23" s="384">
        <v>1019</v>
      </c>
      <c r="D23" s="384">
        <v>944</v>
      </c>
      <c r="E23" s="291">
        <v>941</v>
      </c>
      <c r="F23" s="291">
        <v>941</v>
      </c>
      <c r="G23" s="291">
        <v>941</v>
      </c>
      <c r="H23" s="291">
        <v>941</v>
      </c>
      <c r="I23" s="291">
        <v>941</v>
      </c>
      <c r="J23" s="291">
        <v>941</v>
      </c>
      <c r="K23" s="291">
        <v>941</v>
      </c>
      <c r="L23" s="291">
        <v>941</v>
      </c>
      <c r="M23" s="291">
        <v>941</v>
      </c>
      <c r="N23" s="291">
        <v>941</v>
      </c>
      <c r="O23" s="291">
        <v>941</v>
      </c>
      <c r="P23" s="291">
        <v>933</v>
      </c>
    </row>
    <row r="24" spans="1:16" s="111" customFormat="1" ht="12.75" customHeight="1">
      <c r="A24" s="201">
        <v>13</v>
      </c>
      <c r="B24" s="201" t="s">
        <v>684</v>
      </c>
      <c r="C24" s="384">
        <v>1437</v>
      </c>
      <c r="D24" s="384">
        <v>1338</v>
      </c>
      <c r="E24" s="291">
        <v>1338</v>
      </c>
      <c r="F24" s="291">
        <v>1338</v>
      </c>
      <c r="G24" s="291">
        <v>1338</v>
      </c>
      <c r="H24" s="291">
        <v>1338</v>
      </c>
      <c r="I24" s="291">
        <v>1338</v>
      </c>
      <c r="J24" s="291">
        <v>1338</v>
      </c>
      <c r="K24" s="291">
        <v>1338</v>
      </c>
      <c r="L24" s="291">
        <v>1338</v>
      </c>
      <c r="M24" s="291">
        <v>1338</v>
      </c>
      <c r="N24" s="291">
        <v>1338</v>
      </c>
      <c r="O24" s="291">
        <v>1338</v>
      </c>
      <c r="P24" s="291">
        <v>1338</v>
      </c>
    </row>
    <row r="25" spans="1:16" s="111" customFormat="1" ht="12.75" customHeight="1">
      <c r="A25" s="201">
        <v>14</v>
      </c>
      <c r="B25" s="201" t="s">
        <v>636</v>
      </c>
      <c r="C25" s="384">
        <v>788</v>
      </c>
      <c r="D25" s="384">
        <v>771</v>
      </c>
      <c r="E25" s="291">
        <v>768</v>
      </c>
      <c r="F25" s="291">
        <v>768</v>
      </c>
      <c r="G25" s="291">
        <v>768</v>
      </c>
      <c r="H25" s="291">
        <v>768</v>
      </c>
      <c r="I25" s="291">
        <v>768</v>
      </c>
      <c r="J25" s="291">
        <v>768</v>
      </c>
      <c r="K25" s="291">
        <v>768</v>
      </c>
      <c r="L25" s="291">
        <v>768</v>
      </c>
      <c r="M25" s="291">
        <v>768</v>
      </c>
      <c r="N25" s="291">
        <v>768</v>
      </c>
      <c r="O25" s="291">
        <v>768</v>
      </c>
      <c r="P25" s="291">
        <v>768</v>
      </c>
    </row>
    <row r="26" spans="1:16" s="111" customFormat="1" ht="12.75" customHeight="1">
      <c r="A26" s="201">
        <v>15</v>
      </c>
      <c r="B26" s="201" t="s">
        <v>608</v>
      </c>
      <c r="C26" s="384">
        <v>910</v>
      </c>
      <c r="D26" s="384">
        <v>898</v>
      </c>
      <c r="E26" s="291">
        <v>898</v>
      </c>
      <c r="F26" s="291">
        <v>898</v>
      </c>
      <c r="G26" s="291">
        <v>898</v>
      </c>
      <c r="H26" s="291">
        <v>898</v>
      </c>
      <c r="I26" s="291">
        <v>898</v>
      </c>
      <c r="J26" s="291">
        <v>898</v>
      </c>
      <c r="K26" s="291">
        <v>898</v>
      </c>
      <c r="L26" s="291">
        <v>898</v>
      </c>
      <c r="M26" s="291">
        <v>898</v>
      </c>
      <c r="N26" s="291">
        <v>898</v>
      </c>
      <c r="O26" s="291">
        <v>898</v>
      </c>
      <c r="P26" s="291">
        <v>894</v>
      </c>
    </row>
    <row r="27" spans="1:16" s="111" customFormat="1" ht="12.75" customHeight="1">
      <c r="A27" s="201">
        <v>16</v>
      </c>
      <c r="B27" s="201" t="s">
        <v>685</v>
      </c>
      <c r="C27" s="384">
        <v>529</v>
      </c>
      <c r="D27" s="384">
        <v>520</v>
      </c>
      <c r="E27" s="291">
        <v>520</v>
      </c>
      <c r="F27" s="291">
        <v>520</v>
      </c>
      <c r="G27" s="291">
        <v>520</v>
      </c>
      <c r="H27" s="291">
        <v>520</v>
      </c>
      <c r="I27" s="291">
        <v>520</v>
      </c>
      <c r="J27" s="291">
        <v>520</v>
      </c>
      <c r="K27" s="291">
        <v>520</v>
      </c>
      <c r="L27" s="291">
        <v>520</v>
      </c>
      <c r="M27" s="291">
        <v>520</v>
      </c>
      <c r="N27" s="291">
        <v>520</v>
      </c>
      <c r="O27" s="291">
        <v>520</v>
      </c>
      <c r="P27" s="291">
        <v>520</v>
      </c>
    </row>
    <row r="28" spans="1:16" ht="12.75">
      <c r="A28" s="201">
        <v>17</v>
      </c>
      <c r="B28" s="201" t="s">
        <v>610</v>
      </c>
      <c r="C28" s="351">
        <v>878</v>
      </c>
      <c r="D28" s="351">
        <v>862</v>
      </c>
      <c r="E28" s="353">
        <v>862</v>
      </c>
      <c r="F28" s="353">
        <v>862</v>
      </c>
      <c r="G28" s="353">
        <v>862</v>
      </c>
      <c r="H28" s="353">
        <v>862</v>
      </c>
      <c r="I28" s="353">
        <v>862</v>
      </c>
      <c r="J28" s="353">
        <v>862</v>
      </c>
      <c r="K28" s="353">
        <v>862</v>
      </c>
      <c r="L28" s="353">
        <v>862</v>
      </c>
      <c r="M28" s="353">
        <v>862</v>
      </c>
      <c r="N28" s="353">
        <v>862</v>
      </c>
      <c r="O28" s="353">
        <v>862</v>
      </c>
      <c r="P28" s="353">
        <v>826</v>
      </c>
    </row>
    <row r="29" spans="1:16" ht="12.75">
      <c r="A29" s="201">
        <v>18</v>
      </c>
      <c r="B29" s="201" t="s">
        <v>611</v>
      </c>
      <c r="C29" s="351">
        <v>1573</v>
      </c>
      <c r="D29" s="351">
        <v>1452</v>
      </c>
      <c r="E29" s="353">
        <v>1452</v>
      </c>
      <c r="F29" s="353">
        <v>1452</v>
      </c>
      <c r="G29" s="353">
        <v>1452</v>
      </c>
      <c r="H29" s="353">
        <v>1452</v>
      </c>
      <c r="I29" s="353">
        <v>1452</v>
      </c>
      <c r="J29" s="353">
        <v>1452</v>
      </c>
      <c r="K29" s="353">
        <v>1452</v>
      </c>
      <c r="L29" s="353">
        <v>1452</v>
      </c>
      <c r="M29" s="353">
        <v>1452</v>
      </c>
      <c r="N29" s="353">
        <v>1452</v>
      </c>
      <c r="O29" s="353">
        <v>1452</v>
      </c>
      <c r="P29" s="353">
        <v>1452</v>
      </c>
    </row>
    <row r="30" spans="1:16" ht="12.75">
      <c r="A30" s="201">
        <v>19</v>
      </c>
      <c r="B30" s="201" t="s">
        <v>637</v>
      </c>
      <c r="C30" s="351">
        <v>785</v>
      </c>
      <c r="D30" s="351">
        <v>774</v>
      </c>
      <c r="E30" s="353">
        <v>772</v>
      </c>
      <c r="F30" s="353">
        <v>772</v>
      </c>
      <c r="G30" s="353">
        <v>772</v>
      </c>
      <c r="H30" s="353">
        <v>772</v>
      </c>
      <c r="I30" s="353">
        <v>772</v>
      </c>
      <c r="J30" s="353">
        <v>772</v>
      </c>
      <c r="K30" s="353">
        <v>772</v>
      </c>
      <c r="L30" s="353">
        <v>772</v>
      </c>
      <c r="M30" s="353">
        <v>772</v>
      </c>
      <c r="N30" s="353">
        <v>772</v>
      </c>
      <c r="O30" s="353">
        <v>772</v>
      </c>
      <c r="P30" s="353">
        <v>772</v>
      </c>
    </row>
    <row r="31" spans="1:16" s="65" customFormat="1" ht="12.75" customHeight="1">
      <c r="A31" s="201">
        <v>20</v>
      </c>
      <c r="B31" s="201" t="s">
        <v>612</v>
      </c>
      <c r="C31" s="351">
        <v>1214</v>
      </c>
      <c r="D31" s="351">
        <v>1186</v>
      </c>
      <c r="E31" s="353">
        <v>1186</v>
      </c>
      <c r="F31" s="353">
        <v>1186</v>
      </c>
      <c r="G31" s="353">
        <v>1186</v>
      </c>
      <c r="H31" s="353">
        <v>1186</v>
      </c>
      <c r="I31" s="353">
        <v>1186</v>
      </c>
      <c r="J31" s="353">
        <v>1186</v>
      </c>
      <c r="K31" s="353">
        <v>1186</v>
      </c>
      <c r="L31" s="353">
        <v>1186</v>
      </c>
      <c r="M31" s="353">
        <v>1186</v>
      </c>
      <c r="N31" s="353">
        <v>1186</v>
      </c>
      <c r="O31" s="353">
        <v>1186</v>
      </c>
      <c r="P31" s="353">
        <v>1186</v>
      </c>
    </row>
    <row r="32" spans="1:16" s="65" customFormat="1" ht="12.75" customHeight="1">
      <c r="A32" s="201">
        <v>21</v>
      </c>
      <c r="B32" s="201" t="s">
        <v>613</v>
      </c>
      <c r="C32" s="352">
        <v>567</v>
      </c>
      <c r="D32" s="352">
        <v>591</v>
      </c>
      <c r="E32" s="354">
        <v>587</v>
      </c>
      <c r="F32" s="354">
        <v>587</v>
      </c>
      <c r="G32" s="354">
        <v>587</v>
      </c>
      <c r="H32" s="354">
        <v>587</v>
      </c>
      <c r="I32" s="354">
        <v>587</v>
      </c>
      <c r="J32" s="353">
        <v>585</v>
      </c>
      <c r="K32" s="353">
        <v>585</v>
      </c>
      <c r="L32" s="353">
        <v>585</v>
      </c>
      <c r="M32" s="353">
        <v>585</v>
      </c>
      <c r="N32" s="353">
        <v>585</v>
      </c>
      <c r="O32" s="353">
        <v>585</v>
      </c>
      <c r="P32" s="353">
        <v>585</v>
      </c>
    </row>
    <row r="33" spans="1:16" s="65" customFormat="1" ht="12.75" customHeight="1">
      <c r="A33" s="201">
        <v>22</v>
      </c>
      <c r="B33" s="201" t="s">
        <v>614</v>
      </c>
      <c r="C33" s="352">
        <v>500</v>
      </c>
      <c r="D33" s="352">
        <v>499</v>
      </c>
      <c r="E33" s="354">
        <v>499</v>
      </c>
      <c r="F33" s="354">
        <v>499</v>
      </c>
      <c r="G33" s="354">
        <v>499</v>
      </c>
      <c r="H33" s="354">
        <v>499</v>
      </c>
      <c r="I33" s="354">
        <v>499</v>
      </c>
      <c r="J33" s="353">
        <v>499</v>
      </c>
      <c r="K33" s="353">
        <v>499</v>
      </c>
      <c r="L33" s="353">
        <v>499</v>
      </c>
      <c r="M33" s="353">
        <v>499</v>
      </c>
      <c r="N33" s="353">
        <v>499</v>
      </c>
      <c r="O33" s="353">
        <v>499</v>
      </c>
      <c r="P33" s="353">
        <v>499</v>
      </c>
    </row>
    <row r="34" spans="1:16" ht="12.75" customHeight="1">
      <c r="A34" s="201">
        <v>23</v>
      </c>
      <c r="B34" s="201" t="s">
        <v>686</v>
      </c>
      <c r="C34" s="351">
        <v>1356</v>
      </c>
      <c r="D34" s="351">
        <v>1273</v>
      </c>
      <c r="E34" s="353">
        <v>1273</v>
      </c>
      <c r="F34" s="353">
        <v>1273</v>
      </c>
      <c r="G34" s="353">
        <v>1273</v>
      </c>
      <c r="H34" s="353">
        <v>1273</v>
      </c>
      <c r="I34" s="353">
        <v>1273</v>
      </c>
      <c r="J34" s="353">
        <v>1273</v>
      </c>
      <c r="K34" s="353">
        <v>1273</v>
      </c>
      <c r="L34" s="353">
        <v>1273</v>
      </c>
      <c r="M34" s="353">
        <v>1273</v>
      </c>
      <c r="N34" s="353">
        <v>1273</v>
      </c>
      <c r="O34" s="353">
        <v>1273</v>
      </c>
      <c r="P34" s="353">
        <v>1273</v>
      </c>
    </row>
    <row r="35" spans="1:16" ht="12.75">
      <c r="A35" s="201">
        <v>24</v>
      </c>
      <c r="B35" s="201" t="s">
        <v>616</v>
      </c>
      <c r="C35" s="351">
        <v>1288</v>
      </c>
      <c r="D35" s="351">
        <v>1284</v>
      </c>
      <c r="E35" s="353">
        <v>1284</v>
      </c>
      <c r="F35" s="353">
        <v>1284</v>
      </c>
      <c r="G35" s="353">
        <v>1284</v>
      </c>
      <c r="H35" s="353">
        <v>1284</v>
      </c>
      <c r="I35" s="353">
        <v>1284</v>
      </c>
      <c r="J35" s="353">
        <v>1284</v>
      </c>
      <c r="K35" s="353">
        <v>1284</v>
      </c>
      <c r="L35" s="353">
        <v>1284</v>
      </c>
      <c r="M35" s="353">
        <v>1284</v>
      </c>
      <c r="N35" s="353">
        <v>1284</v>
      </c>
      <c r="O35" s="353">
        <v>1284</v>
      </c>
      <c r="P35" s="353">
        <v>1284</v>
      </c>
    </row>
    <row r="36" spans="1:16" ht="12.75">
      <c r="A36" s="201">
        <v>25</v>
      </c>
      <c r="B36" s="201" t="s">
        <v>617</v>
      </c>
      <c r="C36" s="351">
        <v>994</v>
      </c>
      <c r="D36" s="351">
        <v>998</v>
      </c>
      <c r="E36" s="353">
        <v>998</v>
      </c>
      <c r="F36" s="353">
        <v>998</v>
      </c>
      <c r="G36" s="353">
        <v>998</v>
      </c>
      <c r="H36" s="353">
        <v>998</v>
      </c>
      <c r="I36" s="353">
        <v>998</v>
      </c>
      <c r="J36" s="353">
        <v>998</v>
      </c>
      <c r="K36" s="353">
        <v>998</v>
      </c>
      <c r="L36" s="353">
        <v>998</v>
      </c>
      <c r="M36" s="353">
        <v>998</v>
      </c>
      <c r="N36" s="353">
        <v>998</v>
      </c>
      <c r="O36" s="353">
        <v>998</v>
      </c>
      <c r="P36" s="353">
        <v>998</v>
      </c>
    </row>
    <row r="37" spans="1:16" ht="12.75">
      <c r="A37" s="201">
        <v>26</v>
      </c>
      <c r="B37" s="201" t="s">
        <v>618</v>
      </c>
      <c r="C37" s="351">
        <v>983</v>
      </c>
      <c r="D37" s="351">
        <v>989</v>
      </c>
      <c r="E37" s="353">
        <v>989</v>
      </c>
      <c r="F37" s="353">
        <v>989</v>
      </c>
      <c r="G37" s="353">
        <v>989</v>
      </c>
      <c r="H37" s="353">
        <v>989</v>
      </c>
      <c r="I37" s="353">
        <v>989</v>
      </c>
      <c r="J37" s="353">
        <v>989</v>
      </c>
      <c r="K37" s="353">
        <v>989</v>
      </c>
      <c r="L37" s="353">
        <v>989</v>
      </c>
      <c r="M37" s="353">
        <v>989</v>
      </c>
      <c r="N37" s="353">
        <v>989</v>
      </c>
      <c r="O37" s="353">
        <v>989</v>
      </c>
      <c r="P37" s="353">
        <v>986</v>
      </c>
    </row>
    <row r="38" spans="1:16" ht="12.75">
      <c r="A38" s="201">
        <v>27</v>
      </c>
      <c r="B38" s="201" t="s">
        <v>619</v>
      </c>
      <c r="C38" s="351">
        <v>1057</v>
      </c>
      <c r="D38" s="351">
        <v>1051</v>
      </c>
      <c r="E38" s="353">
        <v>1050</v>
      </c>
      <c r="F38" s="353">
        <v>1050</v>
      </c>
      <c r="G38" s="353">
        <v>1050</v>
      </c>
      <c r="H38" s="353">
        <v>1050</v>
      </c>
      <c r="I38" s="353">
        <v>1050</v>
      </c>
      <c r="J38" s="353">
        <v>1050</v>
      </c>
      <c r="K38" s="353">
        <v>1050</v>
      </c>
      <c r="L38" s="353">
        <v>1050</v>
      </c>
      <c r="M38" s="353">
        <v>1050</v>
      </c>
      <c r="N38" s="353">
        <v>1050</v>
      </c>
      <c r="O38" s="353">
        <v>1050</v>
      </c>
      <c r="P38" s="353">
        <v>1040</v>
      </c>
    </row>
    <row r="39" spans="1:16" ht="12.75">
      <c r="A39" s="201">
        <v>28</v>
      </c>
      <c r="B39" s="143" t="s">
        <v>620</v>
      </c>
      <c r="C39" s="351">
        <v>526</v>
      </c>
      <c r="D39" s="351">
        <v>523</v>
      </c>
      <c r="E39" s="353">
        <v>523</v>
      </c>
      <c r="F39" s="353">
        <v>523</v>
      </c>
      <c r="G39" s="353">
        <v>523</v>
      </c>
      <c r="H39" s="353">
        <v>523</v>
      </c>
      <c r="I39" s="353">
        <v>523</v>
      </c>
      <c r="J39" s="353">
        <v>523</v>
      </c>
      <c r="K39" s="353">
        <v>523</v>
      </c>
      <c r="L39" s="353">
        <v>523</v>
      </c>
      <c r="M39" s="353">
        <v>523</v>
      </c>
      <c r="N39" s="353">
        <v>523</v>
      </c>
      <c r="O39" s="353">
        <v>523</v>
      </c>
      <c r="P39" s="353">
        <v>521</v>
      </c>
    </row>
    <row r="40" spans="1:16" ht="12.75">
      <c r="A40" s="201">
        <v>29</v>
      </c>
      <c r="B40" s="143" t="s">
        <v>687</v>
      </c>
      <c r="C40" s="351">
        <v>697</v>
      </c>
      <c r="D40" s="351">
        <v>723</v>
      </c>
      <c r="E40" s="353">
        <v>723</v>
      </c>
      <c r="F40" s="353">
        <v>723</v>
      </c>
      <c r="G40" s="353">
        <v>723</v>
      </c>
      <c r="H40" s="353">
        <v>723</v>
      </c>
      <c r="I40" s="353">
        <v>723</v>
      </c>
      <c r="J40" s="353">
        <v>723</v>
      </c>
      <c r="K40" s="353">
        <v>723</v>
      </c>
      <c r="L40" s="353">
        <v>723</v>
      </c>
      <c r="M40" s="353">
        <v>723</v>
      </c>
      <c r="N40" s="353">
        <v>723</v>
      </c>
      <c r="O40" s="353">
        <v>723</v>
      </c>
      <c r="P40" s="353">
        <v>723</v>
      </c>
    </row>
    <row r="41" spans="1:16" ht="12.75">
      <c r="A41" s="201">
        <v>30</v>
      </c>
      <c r="B41" s="143" t="s">
        <v>688</v>
      </c>
      <c r="C41" s="351">
        <v>573</v>
      </c>
      <c r="D41" s="351">
        <v>508</v>
      </c>
      <c r="E41" s="353">
        <v>508</v>
      </c>
      <c r="F41" s="353">
        <v>508</v>
      </c>
      <c r="G41" s="353">
        <v>508</v>
      </c>
      <c r="H41" s="353">
        <v>508</v>
      </c>
      <c r="I41" s="353">
        <v>508</v>
      </c>
      <c r="J41" s="353">
        <v>508</v>
      </c>
      <c r="K41" s="353">
        <v>508</v>
      </c>
      <c r="L41" s="353">
        <v>508</v>
      </c>
      <c r="M41" s="353">
        <v>508</v>
      </c>
      <c r="N41" s="353">
        <v>508</v>
      </c>
      <c r="O41" s="353">
        <v>508</v>
      </c>
      <c r="P41" s="353">
        <v>508</v>
      </c>
    </row>
    <row r="42" spans="1:16" ht="12.75">
      <c r="A42" s="201">
        <v>31</v>
      </c>
      <c r="B42" s="143" t="s">
        <v>623</v>
      </c>
      <c r="C42" s="351">
        <v>702</v>
      </c>
      <c r="D42" s="351">
        <v>728</v>
      </c>
      <c r="E42" s="353">
        <v>725</v>
      </c>
      <c r="F42" s="353">
        <v>725</v>
      </c>
      <c r="G42" s="353">
        <v>725</v>
      </c>
      <c r="H42" s="353">
        <v>725</v>
      </c>
      <c r="I42" s="353">
        <v>725</v>
      </c>
      <c r="J42" s="353">
        <v>725</v>
      </c>
      <c r="K42" s="353">
        <v>725</v>
      </c>
      <c r="L42" s="353">
        <v>725</v>
      </c>
      <c r="M42" s="353">
        <v>725</v>
      </c>
      <c r="N42" s="353">
        <v>725</v>
      </c>
      <c r="O42" s="353">
        <v>725</v>
      </c>
      <c r="P42" s="353">
        <v>725</v>
      </c>
    </row>
    <row r="43" spans="1:16" ht="12.75">
      <c r="A43" s="150" t="s">
        <v>16</v>
      </c>
      <c r="B43" s="150"/>
      <c r="C43" s="67">
        <f>SUM(C12:C42)</f>
        <v>28623</v>
      </c>
      <c r="D43" s="67">
        <f aca="true" t="shared" si="0" ref="D43:P43">SUM(D12:D42)</f>
        <v>28020</v>
      </c>
      <c r="E43" s="67">
        <f t="shared" si="0"/>
        <v>27956</v>
      </c>
      <c r="F43" s="67">
        <f t="shared" si="0"/>
        <v>27956</v>
      </c>
      <c r="G43" s="67">
        <f t="shared" si="0"/>
        <v>27956</v>
      </c>
      <c r="H43" s="67">
        <f t="shared" si="0"/>
        <v>27956</v>
      </c>
      <c r="I43" s="67">
        <f t="shared" si="0"/>
        <v>27956</v>
      </c>
      <c r="J43" s="67">
        <f t="shared" si="0"/>
        <v>27954</v>
      </c>
      <c r="K43" s="67">
        <f t="shared" si="0"/>
        <v>27954</v>
      </c>
      <c r="L43" s="67">
        <f t="shared" si="0"/>
        <v>27954</v>
      </c>
      <c r="M43" s="67">
        <f t="shared" si="0"/>
        <v>27954</v>
      </c>
      <c r="N43" s="67">
        <f t="shared" si="0"/>
        <v>27954</v>
      </c>
      <c r="O43" s="67">
        <f t="shared" si="0"/>
        <v>27954</v>
      </c>
      <c r="P43" s="67">
        <f t="shared" si="0"/>
        <v>27887</v>
      </c>
    </row>
    <row r="48" spans="9:16" ht="14.25">
      <c r="I48" s="592" t="s">
        <v>860</v>
      </c>
      <c r="J48" s="592"/>
      <c r="K48" s="592"/>
      <c r="L48" s="592"/>
      <c r="M48" s="592"/>
      <c r="N48" s="592"/>
      <c r="O48" s="592"/>
      <c r="P48" s="592"/>
    </row>
    <row r="49" spans="9:16" ht="14.25">
      <c r="I49" s="592" t="s">
        <v>653</v>
      </c>
      <c r="J49" s="592"/>
      <c r="K49" s="592"/>
      <c r="L49" s="592"/>
      <c r="M49" s="592"/>
      <c r="N49" s="592"/>
      <c r="O49" s="592"/>
      <c r="P49" s="592"/>
    </row>
  </sheetData>
  <sheetProtection/>
  <mergeCells count="12">
    <mergeCell ref="E9:P9"/>
    <mergeCell ref="A2:P2"/>
    <mergeCell ref="I48:P48"/>
    <mergeCell ref="I49:P49"/>
    <mergeCell ref="H1:I1"/>
    <mergeCell ref="A3:P3"/>
    <mergeCell ref="A4:P4"/>
    <mergeCell ref="N8:P8"/>
    <mergeCell ref="A9:A10"/>
    <mergeCell ref="B9:B10"/>
    <mergeCell ref="C9:C10"/>
    <mergeCell ref="D9:D10"/>
  </mergeCells>
  <printOptions horizontalCentered="1"/>
  <pageMargins left="0.38" right="0.44" top="0.48" bottom="0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4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28125" style="97" customWidth="1"/>
    <col min="2" max="2" width="26.00390625" style="97" customWidth="1"/>
    <col min="3" max="3" width="11.140625" style="97" bestFit="1" customWidth="1"/>
    <col min="4" max="4" width="10.7109375" style="97" bestFit="1" customWidth="1"/>
    <col min="5" max="5" width="9.7109375" style="97" bestFit="1" customWidth="1"/>
    <col min="6" max="6" width="16.00390625" style="97" customWidth="1"/>
    <col min="7" max="9" width="10.7109375" style="97" customWidth="1"/>
    <col min="10" max="10" width="12.7109375" style="97" bestFit="1" customWidth="1"/>
    <col min="11" max="11" width="10.57421875" style="97" bestFit="1" customWidth="1"/>
    <col min="12" max="13" width="9.421875" style="97" bestFit="1" customWidth="1"/>
    <col min="14" max="14" width="12.7109375" style="97" bestFit="1" customWidth="1"/>
    <col min="15" max="15" width="10.57421875" style="97" bestFit="1" customWidth="1"/>
    <col min="16" max="17" width="9.28125" style="97" bestFit="1" customWidth="1"/>
    <col min="18" max="18" width="12.7109375" style="97" bestFit="1" customWidth="1"/>
    <col min="19" max="21" width="8.8515625" style="97" customWidth="1"/>
    <col min="22" max="22" width="11.7109375" style="97" bestFit="1" customWidth="1"/>
    <col min="23" max="16384" width="9.140625" style="97" customWidth="1"/>
  </cols>
  <sheetData>
    <row r="1" ht="15">
      <c r="V1" s="98" t="s">
        <v>538</v>
      </c>
    </row>
    <row r="2" spans="1:22" ht="15.75">
      <c r="A2" s="622" t="s">
        <v>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</row>
    <row r="3" spans="1:24" ht="20.25">
      <c r="A3" s="623" t="s">
        <v>695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3"/>
      <c r="X3" s="63"/>
    </row>
    <row r="4" spans="3:22" ht="18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2:22" ht="15.75">
      <c r="B5" s="638" t="s">
        <v>700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40"/>
      <c r="U5" s="608" t="s">
        <v>248</v>
      </c>
      <c r="V5" s="609"/>
    </row>
    <row r="6" spans="11:18" ht="15">
      <c r="K6" s="39"/>
      <c r="L6" s="39"/>
      <c r="M6" s="39"/>
      <c r="N6" s="39"/>
      <c r="O6" s="39"/>
      <c r="P6" s="39"/>
      <c r="Q6" s="39"/>
      <c r="R6" s="39"/>
    </row>
    <row r="7" spans="1:20" s="5" customFormat="1" ht="12.75">
      <c r="A7" s="21" t="s">
        <v>665</v>
      </c>
      <c r="B7" s="21"/>
      <c r="T7" s="5" t="s">
        <v>749</v>
      </c>
    </row>
    <row r="8" spans="1:22" ht="35.25" customHeight="1">
      <c r="A8" s="610" t="s">
        <v>2</v>
      </c>
      <c r="B8" s="610" t="s">
        <v>143</v>
      </c>
      <c r="C8" s="611" t="s">
        <v>144</v>
      </c>
      <c r="D8" s="611"/>
      <c r="E8" s="611"/>
      <c r="F8" s="611" t="s">
        <v>145</v>
      </c>
      <c r="G8" s="610" t="s">
        <v>174</v>
      </c>
      <c r="H8" s="610"/>
      <c r="I8" s="610"/>
      <c r="J8" s="610"/>
      <c r="K8" s="610"/>
      <c r="L8" s="610"/>
      <c r="M8" s="610"/>
      <c r="N8" s="610"/>
      <c r="O8" s="610" t="s">
        <v>175</v>
      </c>
      <c r="P8" s="610"/>
      <c r="Q8" s="610"/>
      <c r="R8" s="610"/>
      <c r="S8" s="610"/>
      <c r="T8" s="610"/>
      <c r="U8" s="610"/>
      <c r="V8" s="610"/>
    </row>
    <row r="9" spans="1:22" ht="15">
      <c r="A9" s="610"/>
      <c r="B9" s="610"/>
      <c r="C9" s="611" t="s">
        <v>249</v>
      </c>
      <c r="D9" s="611" t="s">
        <v>39</v>
      </c>
      <c r="E9" s="611" t="s">
        <v>40</v>
      </c>
      <c r="F9" s="611"/>
      <c r="G9" s="610" t="s">
        <v>176</v>
      </c>
      <c r="H9" s="610"/>
      <c r="I9" s="610"/>
      <c r="J9" s="610"/>
      <c r="K9" s="610" t="s">
        <v>160</v>
      </c>
      <c r="L9" s="610"/>
      <c r="M9" s="610"/>
      <c r="N9" s="610"/>
      <c r="O9" s="610" t="s">
        <v>146</v>
      </c>
      <c r="P9" s="610"/>
      <c r="Q9" s="610"/>
      <c r="R9" s="610"/>
      <c r="S9" s="610" t="s">
        <v>159</v>
      </c>
      <c r="T9" s="610"/>
      <c r="U9" s="610"/>
      <c r="V9" s="610"/>
    </row>
    <row r="10" spans="1:22" ht="12.75">
      <c r="A10" s="610"/>
      <c r="B10" s="610"/>
      <c r="C10" s="611"/>
      <c r="D10" s="611"/>
      <c r="E10" s="611"/>
      <c r="F10" s="611"/>
      <c r="G10" s="632" t="s">
        <v>147</v>
      </c>
      <c r="H10" s="633"/>
      <c r="I10" s="634"/>
      <c r="J10" s="612" t="s">
        <v>148</v>
      </c>
      <c r="K10" s="615" t="s">
        <v>147</v>
      </c>
      <c r="L10" s="616"/>
      <c r="M10" s="617"/>
      <c r="N10" s="612" t="s">
        <v>148</v>
      </c>
      <c r="O10" s="615" t="s">
        <v>147</v>
      </c>
      <c r="P10" s="616"/>
      <c r="Q10" s="617"/>
      <c r="R10" s="612" t="s">
        <v>148</v>
      </c>
      <c r="S10" s="615" t="s">
        <v>147</v>
      </c>
      <c r="T10" s="616"/>
      <c r="U10" s="617"/>
      <c r="V10" s="612" t="s">
        <v>148</v>
      </c>
    </row>
    <row r="11" spans="1:22" ht="15" customHeight="1">
      <c r="A11" s="610"/>
      <c r="B11" s="610"/>
      <c r="C11" s="611"/>
      <c r="D11" s="611"/>
      <c r="E11" s="611"/>
      <c r="F11" s="611"/>
      <c r="G11" s="635"/>
      <c r="H11" s="636"/>
      <c r="I11" s="637"/>
      <c r="J11" s="613"/>
      <c r="K11" s="618"/>
      <c r="L11" s="619"/>
      <c r="M11" s="620"/>
      <c r="N11" s="613"/>
      <c r="O11" s="618"/>
      <c r="P11" s="619"/>
      <c r="Q11" s="620"/>
      <c r="R11" s="613"/>
      <c r="S11" s="618"/>
      <c r="T11" s="619"/>
      <c r="U11" s="620"/>
      <c r="V11" s="613"/>
    </row>
    <row r="12" spans="1:22" ht="15">
      <c r="A12" s="610"/>
      <c r="B12" s="610"/>
      <c r="C12" s="611"/>
      <c r="D12" s="611"/>
      <c r="E12" s="611"/>
      <c r="F12" s="611"/>
      <c r="G12" s="101" t="s">
        <v>249</v>
      </c>
      <c r="H12" s="101" t="s">
        <v>39</v>
      </c>
      <c r="I12" s="102" t="s">
        <v>40</v>
      </c>
      <c r="J12" s="614"/>
      <c r="K12" s="100" t="s">
        <v>249</v>
      </c>
      <c r="L12" s="100" t="s">
        <v>39</v>
      </c>
      <c r="M12" s="100" t="s">
        <v>40</v>
      </c>
      <c r="N12" s="614"/>
      <c r="O12" s="100" t="s">
        <v>249</v>
      </c>
      <c r="P12" s="100" t="s">
        <v>39</v>
      </c>
      <c r="Q12" s="100" t="s">
        <v>40</v>
      </c>
      <c r="R12" s="614"/>
      <c r="S12" s="100" t="s">
        <v>249</v>
      </c>
      <c r="T12" s="100" t="s">
        <v>39</v>
      </c>
      <c r="U12" s="100" t="s">
        <v>40</v>
      </c>
      <c r="V12" s="614"/>
    </row>
    <row r="13" spans="1:22" ht="15">
      <c r="A13" s="100">
        <v>1</v>
      </c>
      <c r="B13" s="100">
        <v>2</v>
      </c>
      <c r="C13" s="100">
        <v>3</v>
      </c>
      <c r="D13" s="100">
        <v>4</v>
      </c>
      <c r="E13" s="100">
        <v>5</v>
      </c>
      <c r="F13" s="100">
        <v>6</v>
      </c>
      <c r="G13" s="100">
        <v>7</v>
      </c>
      <c r="H13" s="100">
        <v>8</v>
      </c>
      <c r="I13" s="100">
        <v>9</v>
      </c>
      <c r="J13" s="100">
        <v>10</v>
      </c>
      <c r="K13" s="100">
        <v>11</v>
      </c>
      <c r="L13" s="100">
        <v>12</v>
      </c>
      <c r="M13" s="100">
        <v>13</v>
      </c>
      <c r="N13" s="100">
        <v>14</v>
      </c>
      <c r="O13" s="100">
        <v>15</v>
      </c>
      <c r="P13" s="100">
        <v>16</v>
      </c>
      <c r="Q13" s="100">
        <v>17</v>
      </c>
      <c r="R13" s="100">
        <v>18</v>
      </c>
      <c r="S13" s="100">
        <v>19</v>
      </c>
      <c r="T13" s="100">
        <v>20</v>
      </c>
      <c r="U13" s="100">
        <v>21</v>
      </c>
      <c r="V13" s="100">
        <v>22</v>
      </c>
    </row>
    <row r="14" spans="1:22" ht="15.75">
      <c r="A14" s="624" t="s">
        <v>208</v>
      </c>
      <c r="B14" s="625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ht="15.75">
      <c r="A15" s="283">
        <v>1</v>
      </c>
      <c r="B15" s="281" t="s">
        <v>654</v>
      </c>
      <c r="C15" s="415">
        <f>2785.05*71.46%</f>
        <v>1990.19673</v>
      </c>
      <c r="D15" s="415">
        <f>2785.05*18.75%</f>
        <v>522.1968750000001</v>
      </c>
      <c r="E15" s="415">
        <f>2785.05*9.79%</f>
        <v>272.656395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280"/>
    </row>
    <row r="16" spans="1:22" ht="15">
      <c r="A16" s="100">
        <v>2</v>
      </c>
      <c r="B16" s="103" t="s">
        <v>207</v>
      </c>
      <c r="C16" s="416">
        <f>6597.62*71.46%</f>
        <v>4714.6592519999995</v>
      </c>
      <c r="D16" s="416">
        <f>6597.62*18.75%</f>
        <v>1237.05375</v>
      </c>
      <c r="E16" s="416">
        <f>6597.62*9.79%</f>
        <v>645.9069979999999</v>
      </c>
      <c r="F16" s="388">
        <v>43272</v>
      </c>
      <c r="G16" s="416">
        <f>6597.62*71.46%</f>
        <v>4714.6592519999995</v>
      </c>
      <c r="H16" s="416">
        <f>6597.62*18.75%</f>
        <v>1237.05375</v>
      </c>
      <c r="I16" s="416">
        <f>6597.62*9.79%</f>
        <v>645.9069979999999</v>
      </c>
      <c r="J16" s="265">
        <v>43279</v>
      </c>
      <c r="K16" s="416">
        <f>6597.62*71.46%</f>
        <v>4714.6592519999995</v>
      </c>
      <c r="L16" s="416">
        <f>6597.62*18.75%</f>
        <v>1237.05375</v>
      </c>
      <c r="M16" s="416">
        <f>6597.62*9.79%</f>
        <v>645.9069979999999</v>
      </c>
      <c r="N16" s="265">
        <v>43285</v>
      </c>
      <c r="O16" s="416">
        <f>6597.62*71.46%</f>
        <v>4714.6592519999995</v>
      </c>
      <c r="P16" s="416">
        <f>6597.62*18.75%</f>
        <v>1237.05375</v>
      </c>
      <c r="Q16" s="416">
        <f>6597.62*9.79%</f>
        <v>645.9069979999999</v>
      </c>
      <c r="R16" s="265">
        <v>43288</v>
      </c>
      <c r="S16" s="104" t="s">
        <v>7</v>
      </c>
      <c r="T16" s="104" t="s">
        <v>7</v>
      </c>
      <c r="U16" s="104" t="s">
        <v>7</v>
      </c>
      <c r="V16" s="629" t="s">
        <v>651</v>
      </c>
    </row>
    <row r="17" spans="1:22" ht="15">
      <c r="A17" s="100">
        <v>3</v>
      </c>
      <c r="B17" s="103" t="s">
        <v>149</v>
      </c>
      <c r="C17" s="416">
        <f>6701.3*71.46%</f>
        <v>4788.748979999999</v>
      </c>
      <c r="D17" s="416">
        <f>6701.3*18.75%</f>
        <v>1256.49375</v>
      </c>
      <c r="E17" s="416">
        <f>6701.3*9.79%</f>
        <v>656.0572699999999</v>
      </c>
      <c r="F17" s="265">
        <v>43377</v>
      </c>
      <c r="G17" s="416">
        <f>6701.3*71.46%</f>
        <v>4788.748979999999</v>
      </c>
      <c r="H17" s="416">
        <f>6701.3*18.75%</f>
        <v>1256.49375</v>
      </c>
      <c r="I17" s="416">
        <f>6701.3*9.79%</f>
        <v>656.0572699999999</v>
      </c>
      <c r="J17" s="265">
        <v>43383</v>
      </c>
      <c r="K17" s="416">
        <f>6701.3*71.46%</f>
        <v>4788.748979999999</v>
      </c>
      <c r="L17" s="416">
        <f>6701.3*18.75%</f>
        <v>1256.49375</v>
      </c>
      <c r="M17" s="416">
        <f>6701.3*9.79%</f>
        <v>656.0572699999999</v>
      </c>
      <c r="N17" s="265">
        <v>43388</v>
      </c>
      <c r="O17" s="416">
        <f>6701.3*71.46%</f>
        <v>4788.748979999999</v>
      </c>
      <c r="P17" s="416">
        <f>6701.3*18.75%</f>
        <v>1256.49375</v>
      </c>
      <c r="Q17" s="416">
        <f>6701.3*9.79%</f>
        <v>656.0572699999999</v>
      </c>
      <c r="R17" s="265">
        <v>43391</v>
      </c>
      <c r="S17" s="104" t="s">
        <v>7</v>
      </c>
      <c r="T17" s="104" t="s">
        <v>7</v>
      </c>
      <c r="U17" s="104" t="s">
        <v>7</v>
      </c>
      <c r="V17" s="630"/>
    </row>
    <row r="18" spans="1:22" ht="15">
      <c r="A18" s="101">
        <v>4</v>
      </c>
      <c r="B18" s="282" t="s">
        <v>150</v>
      </c>
      <c r="C18" s="416">
        <f>11772.27*71.46%</f>
        <v>8412.464141999999</v>
      </c>
      <c r="D18" s="416">
        <f>11772.27*18.75%</f>
        <v>2207.300625</v>
      </c>
      <c r="E18" s="416">
        <f>11772.27*9.79%</f>
        <v>1152.5052329999999</v>
      </c>
      <c r="F18" s="372">
        <v>43481</v>
      </c>
      <c r="G18" s="416">
        <f>11772.27*71.46%</f>
        <v>8412.464141999999</v>
      </c>
      <c r="H18" s="416">
        <f>11772.27*18.75%</f>
        <v>2207.300625</v>
      </c>
      <c r="I18" s="416">
        <f>11772.27*9.79%</f>
        <v>1152.5052329999999</v>
      </c>
      <c r="J18" s="372">
        <v>43484</v>
      </c>
      <c r="K18" s="416">
        <f>11772.27*71.46%</f>
        <v>8412.464141999999</v>
      </c>
      <c r="L18" s="416">
        <f>11772.27*18.75%</f>
        <v>2207.300625</v>
      </c>
      <c r="M18" s="416">
        <f>11772.27*9.79%</f>
        <v>1152.5052329999999</v>
      </c>
      <c r="N18" s="372">
        <v>43487</v>
      </c>
      <c r="O18" s="416">
        <f>11772.27*71.46%</f>
        <v>8412.464141999999</v>
      </c>
      <c r="P18" s="416">
        <f>11772.27*18.75%</f>
        <v>2207.300625</v>
      </c>
      <c r="Q18" s="416">
        <f>11772.27*9.79%</f>
        <v>1152.5052329999999</v>
      </c>
      <c r="R18" s="372">
        <v>43490</v>
      </c>
      <c r="S18" s="104" t="s">
        <v>7</v>
      </c>
      <c r="T18" s="104" t="s">
        <v>7</v>
      </c>
      <c r="U18" s="104" t="s">
        <v>7</v>
      </c>
      <c r="V18" s="630"/>
    </row>
    <row r="19" spans="1:22" ht="15">
      <c r="A19" s="370"/>
      <c r="B19" s="371" t="s">
        <v>680</v>
      </c>
      <c r="C19" s="267">
        <v>7525.2</v>
      </c>
      <c r="D19" s="267" t="s">
        <v>7</v>
      </c>
      <c r="E19" s="267" t="s">
        <v>7</v>
      </c>
      <c r="F19" s="372"/>
      <c r="G19" s="267">
        <v>7525.2</v>
      </c>
      <c r="H19" s="267" t="s">
        <v>7</v>
      </c>
      <c r="I19" s="267" t="s">
        <v>7</v>
      </c>
      <c r="J19" s="372"/>
      <c r="K19" s="267">
        <v>7525.2</v>
      </c>
      <c r="L19" s="267" t="s">
        <v>7</v>
      </c>
      <c r="M19" s="267" t="s">
        <v>7</v>
      </c>
      <c r="N19" s="372"/>
      <c r="O19" s="267">
        <v>7525.2</v>
      </c>
      <c r="P19" s="267" t="s">
        <v>7</v>
      </c>
      <c r="Q19" s="267" t="s">
        <v>7</v>
      </c>
      <c r="R19" s="372"/>
      <c r="S19" s="104"/>
      <c r="T19" s="104"/>
      <c r="U19" s="104"/>
      <c r="V19" s="630"/>
    </row>
    <row r="20" spans="1:22" ht="15">
      <c r="A20" s="626" t="s">
        <v>209</v>
      </c>
      <c r="B20" s="627"/>
      <c r="C20" s="266"/>
      <c r="D20" s="266"/>
      <c r="E20" s="266"/>
      <c r="F20" s="104"/>
      <c r="G20" s="268"/>
      <c r="H20" s="268"/>
      <c r="I20" s="268"/>
      <c r="J20" s="104"/>
      <c r="K20" s="268"/>
      <c r="L20" s="268"/>
      <c r="M20" s="268"/>
      <c r="N20" s="104"/>
      <c r="O20" s="268"/>
      <c r="P20" s="268"/>
      <c r="Q20" s="268"/>
      <c r="R20" s="104"/>
      <c r="S20" s="104" t="s">
        <v>7</v>
      </c>
      <c r="T20" s="104" t="s">
        <v>7</v>
      </c>
      <c r="U20" s="104" t="s">
        <v>7</v>
      </c>
      <c r="V20" s="630"/>
    </row>
    <row r="21" spans="1:22" ht="15">
      <c r="A21" s="100">
        <v>4</v>
      </c>
      <c r="B21" s="103" t="s">
        <v>197</v>
      </c>
      <c r="C21" s="266">
        <v>0</v>
      </c>
      <c r="D21" s="266">
        <v>0</v>
      </c>
      <c r="E21" s="266">
        <v>0</v>
      </c>
      <c r="F21" s="104" t="s">
        <v>7</v>
      </c>
      <c r="G21" s="266">
        <v>0</v>
      </c>
      <c r="H21" s="266">
        <v>0</v>
      </c>
      <c r="I21" s="266">
        <v>0</v>
      </c>
      <c r="J21" s="104" t="s">
        <v>7</v>
      </c>
      <c r="K21" s="266">
        <v>0</v>
      </c>
      <c r="L21" s="266">
        <v>0</v>
      </c>
      <c r="M21" s="266">
        <v>0</v>
      </c>
      <c r="N21" s="104" t="s">
        <v>7</v>
      </c>
      <c r="O21" s="266">
        <v>0</v>
      </c>
      <c r="P21" s="266">
        <v>0</v>
      </c>
      <c r="Q21" s="266">
        <v>0</v>
      </c>
      <c r="R21" s="104" t="s">
        <v>7</v>
      </c>
      <c r="S21" s="104" t="s">
        <v>7</v>
      </c>
      <c r="T21" s="104" t="s">
        <v>7</v>
      </c>
      <c r="U21" s="104" t="s">
        <v>7</v>
      </c>
      <c r="V21" s="630"/>
    </row>
    <row r="22" spans="1:22" ht="15">
      <c r="A22" s="100">
        <v>5</v>
      </c>
      <c r="B22" s="103" t="s">
        <v>128</v>
      </c>
      <c r="C22" s="266">
        <v>0</v>
      </c>
      <c r="D22" s="266">
        <v>0</v>
      </c>
      <c r="E22" s="266">
        <v>0</v>
      </c>
      <c r="F22" s="104" t="s">
        <v>7</v>
      </c>
      <c r="G22" s="266">
        <v>0</v>
      </c>
      <c r="H22" s="266">
        <v>0</v>
      </c>
      <c r="I22" s="266">
        <v>0</v>
      </c>
      <c r="J22" s="104" t="s">
        <v>7</v>
      </c>
      <c r="K22" s="266">
        <v>0</v>
      </c>
      <c r="L22" s="266">
        <v>0</v>
      </c>
      <c r="M22" s="266">
        <v>0</v>
      </c>
      <c r="N22" s="104" t="s">
        <v>7</v>
      </c>
      <c r="O22" s="266">
        <v>0</v>
      </c>
      <c r="P22" s="266">
        <v>0</v>
      </c>
      <c r="Q22" s="266">
        <v>0</v>
      </c>
      <c r="R22" s="104" t="s">
        <v>7</v>
      </c>
      <c r="S22" s="104" t="s">
        <v>7</v>
      </c>
      <c r="T22" s="104" t="s">
        <v>7</v>
      </c>
      <c r="U22" s="104" t="s">
        <v>7</v>
      </c>
      <c r="V22" s="631"/>
    </row>
    <row r="25" spans="1:22" ht="14.25">
      <c r="A25" s="628" t="s">
        <v>161</v>
      </c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</row>
    <row r="26" spans="1:22" ht="14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4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ht="14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ht="14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18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3" spans="18:22" ht="15.75">
      <c r="R33" s="621" t="s">
        <v>860</v>
      </c>
      <c r="S33" s="621"/>
      <c r="T33" s="621"/>
      <c r="U33" s="621"/>
      <c r="V33" s="621"/>
    </row>
    <row r="34" spans="18:22" ht="15.75">
      <c r="R34" s="621" t="s">
        <v>653</v>
      </c>
      <c r="S34" s="621"/>
      <c r="T34" s="621"/>
      <c r="U34" s="621"/>
      <c r="V34" s="621"/>
    </row>
  </sheetData>
  <sheetProtection/>
  <mergeCells count="31">
    <mergeCell ref="G10:I11"/>
    <mergeCell ref="O9:R9"/>
    <mergeCell ref="K10:M11"/>
    <mergeCell ref="R10:R12"/>
    <mergeCell ref="B5:S5"/>
    <mergeCell ref="A2:V2"/>
    <mergeCell ref="A3:V3"/>
    <mergeCell ref="A14:B14"/>
    <mergeCell ref="A20:B20"/>
    <mergeCell ref="A25:V25"/>
    <mergeCell ref="V16:V22"/>
    <mergeCell ref="A8:A12"/>
    <mergeCell ref="B8:B12"/>
    <mergeCell ref="C8:E8"/>
    <mergeCell ref="F8:F12"/>
    <mergeCell ref="R34:V34"/>
    <mergeCell ref="R33:V33"/>
    <mergeCell ref="S9:V9"/>
    <mergeCell ref="J10:J12"/>
    <mergeCell ref="O10:Q11"/>
    <mergeCell ref="N10:N12"/>
    <mergeCell ref="U5:V5"/>
    <mergeCell ref="O8:V8"/>
    <mergeCell ref="C9:C12"/>
    <mergeCell ref="D9:D12"/>
    <mergeCell ref="E9:E12"/>
    <mergeCell ref="G9:J9"/>
    <mergeCell ref="V10:V12"/>
    <mergeCell ref="S10:U11"/>
    <mergeCell ref="K9:N9"/>
    <mergeCell ref="G8:N8"/>
  </mergeCells>
  <printOptions horizontalCentered="1"/>
  <pageMargins left="0.24" right="0.26" top="0.61" bottom="0" header="0.31496062992125984" footer="0.31496062992125984"/>
  <pageSetup fitToHeight="1" fitToWidth="1" horizontalDpi="600" verticalDpi="600" orientation="landscape" paperSize="9" scale="56" r:id="rId1"/>
  <colBreaks count="1" manualBreakCount="1">
    <brk id="22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55" zoomScaleNormal="70" zoomScaleSheetLayoutView="55" zoomScalePageLayoutView="0" workbookViewId="0" topLeftCell="A2">
      <selection activeCell="P23" sqref="P23"/>
    </sheetView>
  </sheetViews>
  <sheetFormatPr defaultColWidth="9.140625" defaultRowHeight="12.75"/>
  <cols>
    <col min="1" max="1" width="8.57421875" style="106" customWidth="1"/>
    <col min="2" max="2" width="17.8515625" style="106" customWidth="1"/>
    <col min="3" max="3" width="11.140625" style="106" customWidth="1"/>
    <col min="4" max="4" width="17.140625" style="106" customWidth="1"/>
    <col min="5" max="6" width="9.140625" style="106" customWidth="1"/>
    <col min="7" max="7" width="7.8515625" style="106" customWidth="1"/>
    <col min="8" max="8" width="8.421875" style="106" customWidth="1"/>
    <col min="9" max="9" width="9.28125" style="106" customWidth="1"/>
    <col min="10" max="13" width="10.28125" style="106" customWidth="1"/>
    <col min="14" max="14" width="9.140625" style="106" customWidth="1"/>
    <col min="15" max="15" width="10.140625" style="106" customWidth="1"/>
    <col min="16" max="16" width="11.00390625" style="106" customWidth="1"/>
    <col min="17" max="16384" width="9.140625" style="106" customWidth="1"/>
  </cols>
  <sheetData>
    <row r="1" spans="8:16" ht="12.75">
      <c r="H1" s="801"/>
      <c r="I1" s="801"/>
      <c r="O1" s="808" t="s">
        <v>544</v>
      </c>
      <c r="P1" s="808"/>
    </row>
    <row r="2" spans="1:16" ht="15.75">
      <c r="A2" s="687" t="s">
        <v>551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16" s="108" customFormat="1" ht="15.75">
      <c r="A3" s="802" t="s">
        <v>697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1:16" s="108" customFormat="1" ht="20.25" customHeight="1">
      <c r="A4" s="802" t="s">
        <v>732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6" spans="1:13" ht="12.75">
      <c r="A6" s="109" t="s">
        <v>665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8" spans="1:10" ht="12.75">
      <c r="A8" s="810" t="s">
        <v>815</v>
      </c>
      <c r="B8" s="810"/>
      <c r="C8" s="810"/>
      <c r="D8" s="810"/>
      <c r="E8" s="810"/>
      <c r="F8" s="810"/>
      <c r="G8" s="441"/>
      <c r="H8" s="110"/>
      <c r="I8" s="110"/>
      <c r="J8" s="110"/>
    </row>
    <row r="9" spans="1:10" ht="12.75">
      <c r="A9" s="810" t="s">
        <v>816</v>
      </c>
      <c r="B9" s="810"/>
      <c r="C9" s="810"/>
      <c r="D9" s="810"/>
      <c r="E9" s="810"/>
      <c r="F9" s="810"/>
      <c r="G9" s="441"/>
      <c r="H9" s="110"/>
      <c r="I9" s="110"/>
      <c r="J9" s="110"/>
    </row>
    <row r="11" spans="1:16" s="111" customFormat="1" ht="1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811" t="s">
        <v>797</v>
      </c>
      <c r="L11" s="811"/>
      <c r="M11" s="811"/>
      <c r="N11" s="811"/>
      <c r="O11" s="811"/>
      <c r="P11" s="811"/>
    </row>
    <row r="12" spans="1:16" s="111" customFormat="1" ht="20.25" customHeight="1">
      <c r="A12" s="642" t="s">
        <v>2</v>
      </c>
      <c r="B12" s="642" t="s">
        <v>3</v>
      </c>
      <c r="C12" s="805" t="s">
        <v>268</v>
      </c>
      <c r="D12" s="805" t="s">
        <v>543</v>
      </c>
      <c r="E12" s="809" t="s">
        <v>576</v>
      </c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</row>
    <row r="13" spans="1:16" s="111" customFormat="1" ht="35.25" customHeight="1">
      <c r="A13" s="804"/>
      <c r="B13" s="804"/>
      <c r="C13" s="806"/>
      <c r="D13" s="806"/>
      <c r="E13" s="136" t="s">
        <v>810</v>
      </c>
      <c r="F13" s="136" t="s">
        <v>271</v>
      </c>
      <c r="G13" s="136" t="s">
        <v>272</v>
      </c>
      <c r="H13" s="136" t="s">
        <v>273</v>
      </c>
      <c r="I13" s="136" t="s">
        <v>274</v>
      </c>
      <c r="J13" s="136" t="s">
        <v>275</v>
      </c>
      <c r="K13" s="136" t="s">
        <v>276</v>
      </c>
      <c r="L13" s="136" t="s">
        <v>277</v>
      </c>
      <c r="M13" s="136" t="s">
        <v>817</v>
      </c>
      <c r="N13" s="442" t="s">
        <v>818</v>
      </c>
      <c r="O13" s="442" t="s">
        <v>678</v>
      </c>
      <c r="P13" s="442" t="s">
        <v>679</v>
      </c>
    </row>
    <row r="14" spans="1:16" s="111" customFormat="1" ht="12.75" customHeigh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</row>
    <row r="15" spans="1:16" s="111" customFormat="1" ht="12.75" customHeight="1">
      <c r="A15" s="201">
        <v>1</v>
      </c>
      <c r="B15" s="201" t="s">
        <v>633</v>
      </c>
      <c r="C15" s="246">
        <v>1152</v>
      </c>
      <c r="D15" s="246">
        <v>1186</v>
      </c>
      <c r="E15" s="246">
        <v>1086</v>
      </c>
      <c r="F15" s="246">
        <v>0</v>
      </c>
      <c r="G15" s="246">
        <v>1084</v>
      </c>
      <c r="H15" s="246">
        <v>1085</v>
      </c>
      <c r="I15" s="246">
        <v>1052</v>
      </c>
      <c r="J15" s="246">
        <v>995</v>
      </c>
      <c r="K15" s="246">
        <v>1069</v>
      </c>
      <c r="L15" s="246">
        <v>1077</v>
      </c>
      <c r="M15" s="246">
        <v>1086</v>
      </c>
      <c r="N15" s="246">
        <v>1055</v>
      </c>
      <c r="O15" s="246">
        <v>1076</v>
      </c>
      <c r="P15" s="246">
        <v>1086</v>
      </c>
    </row>
    <row r="16" spans="1:16" s="111" customFormat="1" ht="12.75" customHeight="1">
      <c r="A16" s="201">
        <f>A15+1</f>
        <v>2</v>
      </c>
      <c r="B16" s="201" t="s">
        <v>598</v>
      </c>
      <c r="C16" s="246">
        <v>1313</v>
      </c>
      <c r="D16" s="246">
        <v>1224</v>
      </c>
      <c r="E16" s="246">
        <v>1210</v>
      </c>
      <c r="F16" s="246">
        <v>0</v>
      </c>
      <c r="G16" s="246">
        <v>1210</v>
      </c>
      <c r="H16" s="246">
        <v>1192</v>
      </c>
      <c r="I16" s="246">
        <v>1210</v>
      </c>
      <c r="J16" s="246">
        <v>1208</v>
      </c>
      <c r="K16" s="246">
        <v>1210</v>
      </c>
      <c r="L16" s="246">
        <v>1210</v>
      </c>
      <c r="M16" s="246">
        <v>1205</v>
      </c>
      <c r="N16" s="246">
        <v>1151</v>
      </c>
      <c r="O16" s="246">
        <v>1193</v>
      </c>
      <c r="P16" s="246">
        <v>1210</v>
      </c>
    </row>
    <row r="17" spans="1:16" s="111" customFormat="1" ht="12.75" customHeight="1">
      <c r="A17" s="201">
        <f aca="true" t="shared" si="0" ref="A17:A45">A16+1</f>
        <v>3</v>
      </c>
      <c r="B17" s="201" t="s">
        <v>634</v>
      </c>
      <c r="C17" s="246">
        <v>883</v>
      </c>
      <c r="D17" s="246">
        <v>899</v>
      </c>
      <c r="E17" s="246">
        <v>892</v>
      </c>
      <c r="F17" s="246">
        <v>0</v>
      </c>
      <c r="G17" s="246">
        <v>581</v>
      </c>
      <c r="H17" s="246">
        <v>821</v>
      </c>
      <c r="I17" s="246">
        <v>801</v>
      </c>
      <c r="J17" s="246">
        <v>787</v>
      </c>
      <c r="K17" s="246">
        <v>777</v>
      </c>
      <c r="L17" s="246">
        <v>720</v>
      </c>
      <c r="M17" s="246">
        <v>697</v>
      </c>
      <c r="N17" s="246">
        <v>891</v>
      </c>
      <c r="O17" s="246">
        <v>889</v>
      </c>
      <c r="P17" s="246">
        <v>887</v>
      </c>
    </row>
    <row r="18" spans="1:16" s="111" customFormat="1" ht="12.75" customHeight="1">
      <c r="A18" s="201">
        <f t="shared" si="0"/>
        <v>4</v>
      </c>
      <c r="B18" s="201" t="s">
        <v>599</v>
      </c>
      <c r="C18" s="246">
        <v>805</v>
      </c>
      <c r="D18" s="246">
        <v>807</v>
      </c>
      <c r="E18" s="246">
        <v>621</v>
      </c>
      <c r="F18" s="246">
        <v>0</v>
      </c>
      <c r="G18" s="246">
        <v>566</v>
      </c>
      <c r="H18" s="246">
        <v>801</v>
      </c>
      <c r="I18" s="246">
        <v>670</v>
      </c>
      <c r="J18" s="246">
        <v>687</v>
      </c>
      <c r="K18" s="246">
        <v>626</v>
      </c>
      <c r="L18" s="246">
        <v>766</v>
      </c>
      <c r="M18" s="246">
        <v>701</v>
      </c>
      <c r="N18" s="246">
        <v>691</v>
      </c>
      <c r="O18" s="246">
        <v>710</v>
      </c>
      <c r="P18" s="246">
        <v>669</v>
      </c>
    </row>
    <row r="19" spans="1:16" s="111" customFormat="1" ht="12.75" customHeight="1">
      <c r="A19" s="201">
        <f t="shared" si="0"/>
        <v>5</v>
      </c>
      <c r="B19" s="201" t="s">
        <v>600</v>
      </c>
      <c r="C19" s="246">
        <v>524</v>
      </c>
      <c r="D19" s="246">
        <v>519</v>
      </c>
      <c r="E19" s="246">
        <v>467</v>
      </c>
      <c r="F19" s="246">
        <v>0</v>
      </c>
      <c r="G19" s="246">
        <v>427</v>
      </c>
      <c r="H19" s="246">
        <v>459</v>
      </c>
      <c r="I19" s="246">
        <v>393</v>
      </c>
      <c r="J19" s="246">
        <v>484</v>
      </c>
      <c r="K19" s="246">
        <v>506</v>
      </c>
      <c r="L19" s="246">
        <v>494</v>
      </c>
      <c r="M19" s="246">
        <v>479</v>
      </c>
      <c r="N19" s="246">
        <v>476</v>
      </c>
      <c r="O19" s="246">
        <v>515</v>
      </c>
      <c r="P19" s="246">
        <v>518</v>
      </c>
    </row>
    <row r="20" spans="1:16" s="111" customFormat="1" ht="12.75" customHeight="1">
      <c r="A20" s="201">
        <f t="shared" si="0"/>
        <v>6</v>
      </c>
      <c r="B20" s="201" t="s">
        <v>601</v>
      </c>
      <c r="C20" s="246">
        <v>826</v>
      </c>
      <c r="D20" s="246">
        <v>848</v>
      </c>
      <c r="E20" s="246">
        <v>616</v>
      </c>
      <c r="F20" s="246">
        <v>0</v>
      </c>
      <c r="G20" s="246">
        <v>641</v>
      </c>
      <c r="H20" s="246">
        <v>722</v>
      </c>
      <c r="I20" s="246">
        <v>639</v>
      </c>
      <c r="J20" s="246">
        <v>594</v>
      </c>
      <c r="K20" s="246">
        <v>715</v>
      </c>
      <c r="L20" s="246">
        <v>776</v>
      </c>
      <c r="M20" s="246">
        <v>824</v>
      </c>
      <c r="N20" s="246">
        <v>776</v>
      </c>
      <c r="O20" s="246">
        <v>790</v>
      </c>
      <c r="P20" s="246">
        <v>819</v>
      </c>
    </row>
    <row r="21" spans="1:16" s="111" customFormat="1" ht="12.75" customHeight="1">
      <c r="A21" s="201">
        <f t="shared" si="0"/>
        <v>7</v>
      </c>
      <c r="B21" s="201" t="s">
        <v>602</v>
      </c>
      <c r="C21" s="246">
        <v>466</v>
      </c>
      <c r="D21" s="246">
        <v>462</v>
      </c>
      <c r="E21" s="246">
        <v>274</v>
      </c>
      <c r="F21" s="246">
        <v>0</v>
      </c>
      <c r="G21" s="246">
        <v>322</v>
      </c>
      <c r="H21" s="246">
        <v>354</v>
      </c>
      <c r="I21" s="246">
        <v>243</v>
      </c>
      <c r="J21" s="246">
        <v>221</v>
      </c>
      <c r="K21" s="246">
        <v>442</v>
      </c>
      <c r="L21" s="246">
        <v>360</v>
      </c>
      <c r="M21" s="246">
        <v>339</v>
      </c>
      <c r="N21" s="246">
        <v>390</v>
      </c>
      <c r="O21" s="246">
        <v>460</v>
      </c>
      <c r="P21" s="246">
        <v>461</v>
      </c>
    </row>
    <row r="22" spans="1:16" s="111" customFormat="1" ht="12.75" customHeight="1">
      <c r="A22" s="201">
        <f t="shared" si="0"/>
        <v>8</v>
      </c>
      <c r="B22" s="201" t="s">
        <v>603</v>
      </c>
      <c r="C22" s="246">
        <v>1014</v>
      </c>
      <c r="D22" s="246">
        <v>1015</v>
      </c>
      <c r="E22" s="246">
        <v>578</v>
      </c>
      <c r="F22" s="246">
        <v>0</v>
      </c>
      <c r="G22" s="246">
        <v>734</v>
      </c>
      <c r="H22" s="246">
        <v>951</v>
      </c>
      <c r="I22" s="246">
        <v>731</v>
      </c>
      <c r="J22" s="246">
        <v>879</v>
      </c>
      <c r="K22" s="246">
        <v>813</v>
      </c>
      <c r="L22" s="246">
        <v>762</v>
      </c>
      <c r="M22" s="246">
        <v>728</v>
      </c>
      <c r="N22" s="246">
        <v>896</v>
      </c>
      <c r="O22" s="246">
        <v>1015</v>
      </c>
      <c r="P22" s="246">
        <v>951</v>
      </c>
    </row>
    <row r="23" spans="1:16" s="111" customFormat="1" ht="12.75" customHeight="1">
      <c r="A23" s="201">
        <f t="shared" si="0"/>
        <v>9</v>
      </c>
      <c r="B23" s="201" t="s">
        <v>604</v>
      </c>
      <c r="C23" s="246">
        <v>685</v>
      </c>
      <c r="D23" s="246">
        <v>673</v>
      </c>
      <c r="E23" s="246">
        <v>588</v>
      </c>
      <c r="F23" s="246">
        <v>0</v>
      </c>
      <c r="G23" s="246">
        <v>614</v>
      </c>
      <c r="H23" s="246">
        <v>636</v>
      </c>
      <c r="I23" s="246">
        <v>525</v>
      </c>
      <c r="J23" s="246">
        <v>514</v>
      </c>
      <c r="K23" s="246">
        <v>480</v>
      </c>
      <c r="L23" s="246">
        <v>569</v>
      </c>
      <c r="M23" s="246">
        <v>553</v>
      </c>
      <c r="N23" s="246">
        <v>543</v>
      </c>
      <c r="O23" s="246">
        <v>628</v>
      </c>
      <c r="P23" s="246">
        <v>573</v>
      </c>
    </row>
    <row r="24" spans="1:16" s="111" customFormat="1" ht="12.75" customHeight="1">
      <c r="A24" s="201">
        <f t="shared" si="0"/>
        <v>10</v>
      </c>
      <c r="B24" s="201" t="s">
        <v>605</v>
      </c>
      <c r="C24" s="246">
        <v>1259</v>
      </c>
      <c r="D24" s="246">
        <v>1252</v>
      </c>
      <c r="E24" s="246">
        <v>1251</v>
      </c>
      <c r="F24" s="246">
        <v>0</v>
      </c>
      <c r="G24" s="246">
        <v>1251</v>
      </c>
      <c r="H24" s="246">
        <v>1251</v>
      </c>
      <c r="I24" s="246">
        <v>1251</v>
      </c>
      <c r="J24" s="246">
        <v>1251</v>
      </c>
      <c r="K24" s="246">
        <v>1251</v>
      </c>
      <c r="L24" s="246">
        <v>1251</v>
      </c>
      <c r="M24" s="246">
        <v>1251</v>
      </c>
      <c r="N24" s="246">
        <v>1251</v>
      </c>
      <c r="O24" s="246">
        <v>1251</v>
      </c>
      <c r="P24" s="246">
        <v>1251</v>
      </c>
    </row>
    <row r="25" spans="1:16" s="111" customFormat="1" ht="12.75" customHeight="1">
      <c r="A25" s="201">
        <f t="shared" si="0"/>
        <v>11</v>
      </c>
      <c r="B25" s="201" t="s">
        <v>635</v>
      </c>
      <c r="C25" s="246">
        <v>1039</v>
      </c>
      <c r="D25" s="246">
        <v>885</v>
      </c>
      <c r="E25" s="246">
        <v>885</v>
      </c>
      <c r="F25" s="246">
        <v>0</v>
      </c>
      <c r="G25" s="246">
        <v>885</v>
      </c>
      <c r="H25" s="246">
        <v>884</v>
      </c>
      <c r="I25" s="246">
        <v>881</v>
      </c>
      <c r="J25" s="246">
        <v>877</v>
      </c>
      <c r="K25" s="246">
        <v>857</v>
      </c>
      <c r="L25" s="246">
        <v>885</v>
      </c>
      <c r="M25" s="246">
        <v>885</v>
      </c>
      <c r="N25" s="246">
        <v>856</v>
      </c>
      <c r="O25" s="246">
        <v>869</v>
      </c>
      <c r="P25" s="246">
        <v>867</v>
      </c>
    </row>
    <row r="26" spans="1:16" s="111" customFormat="1" ht="12.75" customHeight="1">
      <c r="A26" s="201">
        <f t="shared" si="0"/>
        <v>12</v>
      </c>
      <c r="B26" s="201" t="s">
        <v>606</v>
      </c>
      <c r="C26" s="246">
        <v>927</v>
      </c>
      <c r="D26" s="246">
        <v>942</v>
      </c>
      <c r="E26" s="246">
        <v>511</v>
      </c>
      <c r="F26" s="246">
        <v>0</v>
      </c>
      <c r="G26" s="246">
        <v>417</v>
      </c>
      <c r="H26" s="246">
        <v>523</v>
      </c>
      <c r="I26" s="246">
        <v>457</v>
      </c>
      <c r="J26" s="246">
        <v>449</v>
      </c>
      <c r="K26" s="246">
        <v>471</v>
      </c>
      <c r="L26" s="246">
        <v>747</v>
      </c>
      <c r="M26" s="246">
        <v>747</v>
      </c>
      <c r="N26" s="246">
        <v>873</v>
      </c>
      <c r="O26" s="246">
        <v>941</v>
      </c>
      <c r="P26" s="246">
        <v>941</v>
      </c>
    </row>
    <row r="27" spans="1:16" s="111" customFormat="1" ht="12.75" customHeight="1">
      <c r="A27" s="201">
        <f t="shared" si="0"/>
        <v>13</v>
      </c>
      <c r="B27" s="201" t="s">
        <v>607</v>
      </c>
      <c r="C27" s="246">
        <v>1340</v>
      </c>
      <c r="D27" s="246">
        <v>1391</v>
      </c>
      <c r="E27" s="246">
        <v>1086</v>
      </c>
      <c r="F27" s="246">
        <v>0</v>
      </c>
      <c r="G27" s="246">
        <v>900</v>
      </c>
      <c r="H27" s="246">
        <v>1036</v>
      </c>
      <c r="I27" s="246">
        <v>974</v>
      </c>
      <c r="J27" s="246">
        <v>1101</v>
      </c>
      <c r="K27" s="246">
        <v>1190</v>
      </c>
      <c r="L27" s="246">
        <v>1311</v>
      </c>
      <c r="M27" s="246">
        <v>1386</v>
      </c>
      <c r="N27" s="246">
        <v>1386</v>
      </c>
      <c r="O27" s="246">
        <v>1332</v>
      </c>
      <c r="P27" s="246">
        <v>1361</v>
      </c>
    </row>
    <row r="28" spans="1:16" s="111" customFormat="1" ht="12.75" customHeight="1">
      <c r="A28" s="201">
        <f t="shared" si="0"/>
        <v>14</v>
      </c>
      <c r="B28" s="201" t="s">
        <v>636</v>
      </c>
      <c r="C28" s="246">
        <v>769</v>
      </c>
      <c r="D28" s="246">
        <v>652</v>
      </c>
      <c r="E28" s="246">
        <v>495</v>
      </c>
      <c r="F28" s="246">
        <v>0</v>
      </c>
      <c r="G28" s="246">
        <v>358</v>
      </c>
      <c r="H28" s="246">
        <v>443</v>
      </c>
      <c r="I28" s="246">
        <v>352</v>
      </c>
      <c r="J28" s="246">
        <v>351</v>
      </c>
      <c r="K28" s="246">
        <v>505</v>
      </c>
      <c r="L28" s="246">
        <v>462</v>
      </c>
      <c r="M28" s="246">
        <v>425</v>
      </c>
      <c r="N28" s="246">
        <v>522</v>
      </c>
      <c r="O28" s="246">
        <v>651</v>
      </c>
      <c r="P28" s="246">
        <v>525</v>
      </c>
    </row>
    <row r="29" spans="1:16" s="111" customFormat="1" ht="12.75" customHeight="1">
      <c r="A29" s="201">
        <f t="shared" si="0"/>
        <v>15</v>
      </c>
      <c r="B29" s="201" t="s">
        <v>608</v>
      </c>
      <c r="C29" s="246">
        <v>910</v>
      </c>
      <c r="D29" s="246">
        <v>885</v>
      </c>
      <c r="E29" s="246">
        <v>587</v>
      </c>
      <c r="F29" s="246">
        <v>0</v>
      </c>
      <c r="G29" s="246">
        <v>524</v>
      </c>
      <c r="H29" s="246">
        <v>547</v>
      </c>
      <c r="I29" s="246">
        <v>527</v>
      </c>
      <c r="J29" s="246">
        <v>512</v>
      </c>
      <c r="K29" s="246">
        <v>530</v>
      </c>
      <c r="L29" s="246">
        <v>569</v>
      </c>
      <c r="M29" s="246">
        <v>564</v>
      </c>
      <c r="N29" s="246">
        <v>863</v>
      </c>
      <c r="O29" s="246">
        <v>848</v>
      </c>
      <c r="P29" s="246">
        <v>770</v>
      </c>
    </row>
    <row r="30" spans="1:16" s="111" customFormat="1" ht="12.75" customHeight="1">
      <c r="A30" s="201">
        <f t="shared" si="0"/>
        <v>16</v>
      </c>
      <c r="B30" s="201" t="s">
        <v>609</v>
      </c>
      <c r="C30" s="246">
        <v>524</v>
      </c>
      <c r="D30" s="246">
        <v>516</v>
      </c>
      <c r="E30" s="246">
        <v>418</v>
      </c>
      <c r="F30" s="246">
        <v>0</v>
      </c>
      <c r="G30" s="246">
        <v>371</v>
      </c>
      <c r="H30" s="246">
        <v>406</v>
      </c>
      <c r="I30" s="246">
        <v>309</v>
      </c>
      <c r="J30" s="246">
        <v>292</v>
      </c>
      <c r="K30" s="246">
        <v>325</v>
      </c>
      <c r="L30" s="246">
        <v>361</v>
      </c>
      <c r="M30" s="246">
        <v>423</v>
      </c>
      <c r="N30" s="246">
        <v>436</v>
      </c>
      <c r="O30" s="246">
        <v>444</v>
      </c>
      <c r="P30" s="246">
        <v>402</v>
      </c>
    </row>
    <row r="31" spans="1:16" ht="12.75">
      <c r="A31" s="201">
        <f t="shared" si="0"/>
        <v>17</v>
      </c>
      <c r="B31" s="201" t="s">
        <v>610</v>
      </c>
      <c r="C31" s="247">
        <v>840</v>
      </c>
      <c r="D31" s="247">
        <v>837</v>
      </c>
      <c r="E31" s="246">
        <v>550</v>
      </c>
      <c r="F31" s="246">
        <v>0</v>
      </c>
      <c r="G31" s="247">
        <v>460</v>
      </c>
      <c r="H31" s="247">
        <v>535</v>
      </c>
      <c r="I31" s="247">
        <v>501</v>
      </c>
      <c r="J31" s="247">
        <v>468</v>
      </c>
      <c r="K31" s="247">
        <v>486</v>
      </c>
      <c r="L31" s="247">
        <v>458</v>
      </c>
      <c r="M31" s="247">
        <v>474</v>
      </c>
      <c r="N31" s="247">
        <v>763</v>
      </c>
      <c r="O31" s="247">
        <v>766</v>
      </c>
      <c r="P31" s="247">
        <v>812</v>
      </c>
    </row>
    <row r="32" spans="1:16" ht="12.75">
      <c r="A32" s="201">
        <f t="shared" si="0"/>
        <v>18</v>
      </c>
      <c r="B32" s="201" t="s">
        <v>611</v>
      </c>
      <c r="C32" s="247">
        <v>1427</v>
      </c>
      <c r="D32" s="247">
        <v>1513</v>
      </c>
      <c r="E32" s="246">
        <v>1466</v>
      </c>
      <c r="F32" s="246">
        <v>0</v>
      </c>
      <c r="G32" s="247">
        <v>1501</v>
      </c>
      <c r="H32" s="247">
        <v>1521</v>
      </c>
      <c r="I32" s="247">
        <v>1516</v>
      </c>
      <c r="J32" s="247">
        <v>1503</v>
      </c>
      <c r="K32" s="247">
        <v>1485</v>
      </c>
      <c r="L32" s="247">
        <v>1480</v>
      </c>
      <c r="M32" s="247">
        <v>1402</v>
      </c>
      <c r="N32" s="247">
        <v>1396</v>
      </c>
      <c r="O32" s="247">
        <v>1506</v>
      </c>
      <c r="P32" s="247">
        <v>1508</v>
      </c>
    </row>
    <row r="33" spans="1:16" ht="12.75">
      <c r="A33" s="201">
        <f t="shared" si="0"/>
        <v>19</v>
      </c>
      <c r="B33" s="201" t="s">
        <v>637</v>
      </c>
      <c r="C33" s="247">
        <v>784</v>
      </c>
      <c r="D33" s="247">
        <v>740</v>
      </c>
      <c r="E33" s="246">
        <v>681</v>
      </c>
      <c r="F33" s="246">
        <v>0</v>
      </c>
      <c r="G33" s="247">
        <v>335</v>
      </c>
      <c r="H33" s="247">
        <v>590</v>
      </c>
      <c r="I33" s="247">
        <v>424</v>
      </c>
      <c r="J33" s="247">
        <v>476</v>
      </c>
      <c r="K33" s="247">
        <v>697</v>
      </c>
      <c r="L33" s="247">
        <v>697</v>
      </c>
      <c r="M33" s="247">
        <v>697</v>
      </c>
      <c r="N33" s="247">
        <v>697</v>
      </c>
      <c r="O33" s="247">
        <v>697</v>
      </c>
      <c r="P33" s="247">
        <v>697</v>
      </c>
    </row>
    <row r="34" spans="1:16" s="65" customFormat="1" ht="12.75" customHeight="1">
      <c r="A34" s="201">
        <f t="shared" si="0"/>
        <v>20</v>
      </c>
      <c r="B34" s="201" t="s">
        <v>612</v>
      </c>
      <c r="C34" s="247">
        <v>1200</v>
      </c>
      <c r="D34" s="247">
        <v>1200</v>
      </c>
      <c r="E34" s="246">
        <v>1195</v>
      </c>
      <c r="F34" s="246">
        <v>0</v>
      </c>
      <c r="G34" s="247">
        <v>993</v>
      </c>
      <c r="H34" s="247">
        <v>1195</v>
      </c>
      <c r="I34" s="247">
        <v>949</v>
      </c>
      <c r="J34" s="247">
        <v>946</v>
      </c>
      <c r="K34" s="247">
        <v>956</v>
      </c>
      <c r="L34" s="247">
        <v>929</v>
      </c>
      <c r="M34" s="247">
        <v>943</v>
      </c>
      <c r="N34" s="247">
        <v>960</v>
      </c>
      <c r="O34" s="247">
        <v>1183</v>
      </c>
      <c r="P34" s="247">
        <v>1159</v>
      </c>
    </row>
    <row r="35" spans="1:16" s="65" customFormat="1" ht="12.75" customHeight="1">
      <c r="A35" s="201">
        <f t="shared" si="0"/>
        <v>21</v>
      </c>
      <c r="B35" s="201" t="s">
        <v>613</v>
      </c>
      <c r="C35" s="248">
        <v>554</v>
      </c>
      <c r="D35" s="248">
        <v>575</v>
      </c>
      <c r="E35" s="246">
        <v>399</v>
      </c>
      <c r="F35" s="246">
        <v>0</v>
      </c>
      <c r="G35" s="248">
        <v>312</v>
      </c>
      <c r="H35" s="248">
        <v>363</v>
      </c>
      <c r="I35" s="248">
        <v>293</v>
      </c>
      <c r="J35" s="247">
        <v>295</v>
      </c>
      <c r="K35" s="247">
        <v>319</v>
      </c>
      <c r="L35" s="247">
        <v>388</v>
      </c>
      <c r="M35" s="247">
        <v>402</v>
      </c>
      <c r="N35" s="247">
        <v>409</v>
      </c>
      <c r="O35" s="247">
        <v>432</v>
      </c>
      <c r="P35" s="247">
        <v>437</v>
      </c>
    </row>
    <row r="36" spans="1:16" s="65" customFormat="1" ht="12.75" customHeight="1">
      <c r="A36" s="201">
        <f t="shared" si="0"/>
        <v>22</v>
      </c>
      <c r="B36" s="201" t="s">
        <v>614</v>
      </c>
      <c r="C36" s="248">
        <v>500</v>
      </c>
      <c r="D36" s="248">
        <v>498</v>
      </c>
      <c r="E36" s="246">
        <v>434</v>
      </c>
      <c r="F36" s="246">
        <v>0</v>
      </c>
      <c r="G36" s="248">
        <v>328</v>
      </c>
      <c r="H36" s="248">
        <v>424</v>
      </c>
      <c r="I36" s="248">
        <v>358</v>
      </c>
      <c r="J36" s="247">
        <v>422</v>
      </c>
      <c r="K36" s="247">
        <v>413</v>
      </c>
      <c r="L36" s="247">
        <v>398</v>
      </c>
      <c r="M36" s="247">
        <v>383</v>
      </c>
      <c r="N36" s="247">
        <v>410</v>
      </c>
      <c r="O36" s="247">
        <v>487</v>
      </c>
      <c r="P36" s="247">
        <v>479</v>
      </c>
    </row>
    <row r="37" spans="1:16" ht="12.75" customHeight="1">
      <c r="A37" s="201">
        <f t="shared" si="0"/>
        <v>23</v>
      </c>
      <c r="B37" s="201" t="s">
        <v>615</v>
      </c>
      <c r="C37" s="247">
        <v>1333</v>
      </c>
      <c r="D37" s="247">
        <v>1307</v>
      </c>
      <c r="E37" s="246">
        <v>1080</v>
      </c>
      <c r="F37" s="246">
        <v>0</v>
      </c>
      <c r="G37" s="247">
        <v>819</v>
      </c>
      <c r="H37" s="247">
        <v>965</v>
      </c>
      <c r="I37" s="247">
        <v>791</v>
      </c>
      <c r="J37" s="247">
        <v>1297</v>
      </c>
      <c r="K37" s="247">
        <v>1332</v>
      </c>
      <c r="L37" s="247">
        <v>1198</v>
      </c>
      <c r="M37" s="247">
        <v>1180</v>
      </c>
      <c r="N37" s="247">
        <v>1158</v>
      </c>
      <c r="O37" s="247">
        <v>1285</v>
      </c>
      <c r="P37" s="247">
        <v>1313</v>
      </c>
    </row>
    <row r="38" spans="1:16" ht="12.75">
      <c r="A38" s="201">
        <f t="shared" si="0"/>
        <v>24</v>
      </c>
      <c r="B38" s="201" t="s">
        <v>616</v>
      </c>
      <c r="C38" s="247">
        <v>1288</v>
      </c>
      <c r="D38" s="247">
        <v>1287</v>
      </c>
      <c r="E38" s="246">
        <v>912</v>
      </c>
      <c r="F38" s="246">
        <v>0</v>
      </c>
      <c r="G38" s="247">
        <v>770</v>
      </c>
      <c r="H38" s="247">
        <v>825</v>
      </c>
      <c r="I38" s="247">
        <v>1050</v>
      </c>
      <c r="J38" s="247">
        <v>1233</v>
      </c>
      <c r="K38" s="247">
        <v>1235</v>
      </c>
      <c r="L38" s="247">
        <v>1234</v>
      </c>
      <c r="M38" s="247">
        <v>1235</v>
      </c>
      <c r="N38" s="247">
        <v>1223</v>
      </c>
      <c r="O38" s="247">
        <v>1283</v>
      </c>
      <c r="P38" s="247">
        <v>1283</v>
      </c>
    </row>
    <row r="39" spans="1:16" ht="12.75">
      <c r="A39" s="201">
        <f t="shared" si="0"/>
        <v>25</v>
      </c>
      <c r="B39" s="201" t="s">
        <v>617</v>
      </c>
      <c r="C39" s="247">
        <v>994</v>
      </c>
      <c r="D39" s="247">
        <v>969</v>
      </c>
      <c r="E39" s="246">
        <v>906</v>
      </c>
      <c r="F39" s="246">
        <v>0</v>
      </c>
      <c r="G39" s="247">
        <v>812</v>
      </c>
      <c r="H39" s="247">
        <v>837</v>
      </c>
      <c r="I39" s="247">
        <v>745</v>
      </c>
      <c r="J39" s="247">
        <v>705</v>
      </c>
      <c r="K39" s="247">
        <v>722</v>
      </c>
      <c r="L39" s="247">
        <v>786</v>
      </c>
      <c r="M39" s="247">
        <v>855</v>
      </c>
      <c r="N39" s="247">
        <v>946</v>
      </c>
      <c r="O39" s="247">
        <v>946</v>
      </c>
      <c r="P39" s="247">
        <v>946</v>
      </c>
    </row>
    <row r="40" spans="1:16" ht="12.75">
      <c r="A40" s="201">
        <f t="shared" si="0"/>
        <v>26</v>
      </c>
      <c r="B40" s="201" t="s">
        <v>618</v>
      </c>
      <c r="C40" s="247">
        <v>971</v>
      </c>
      <c r="D40" s="247">
        <v>975</v>
      </c>
      <c r="E40" s="246">
        <v>946</v>
      </c>
      <c r="F40" s="246">
        <v>0</v>
      </c>
      <c r="G40" s="247">
        <v>949</v>
      </c>
      <c r="H40" s="247">
        <v>972</v>
      </c>
      <c r="I40" s="247">
        <v>973</v>
      </c>
      <c r="J40" s="247">
        <v>944</v>
      </c>
      <c r="K40" s="247">
        <v>975</v>
      </c>
      <c r="L40" s="247">
        <v>974</v>
      </c>
      <c r="M40" s="247">
        <v>964</v>
      </c>
      <c r="N40" s="247">
        <v>943</v>
      </c>
      <c r="O40" s="247">
        <v>971</v>
      </c>
      <c r="P40" s="247">
        <v>975</v>
      </c>
    </row>
    <row r="41" spans="1:16" ht="12.75">
      <c r="A41" s="201">
        <f t="shared" si="0"/>
        <v>27</v>
      </c>
      <c r="B41" s="201" t="s">
        <v>619</v>
      </c>
      <c r="C41" s="247">
        <v>1034</v>
      </c>
      <c r="D41" s="247">
        <v>1012</v>
      </c>
      <c r="E41" s="246">
        <v>566</v>
      </c>
      <c r="F41" s="246">
        <v>0</v>
      </c>
      <c r="G41" s="247">
        <v>486</v>
      </c>
      <c r="H41" s="247">
        <v>530</v>
      </c>
      <c r="I41" s="247">
        <v>378</v>
      </c>
      <c r="J41" s="247">
        <v>788</v>
      </c>
      <c r="K41" s="247">
        <v>903</v>
      </c>
      <c r="L41" s="247">
        <v>750</v>
      </c>
      <c r="M41" s="247">
        <v>716</v>
      </c>
      <c r="N41" s="247">
        <v>961</v>
      </c>
      <c r="O41" s="247">
        <v>937</v>
      </c>
      <c r="P41" s="247">
        <v>963</v>
      </c>
    </row>
    <row r="42" spans="1:16" ht="12.75">
      <c r="A42" s="201">
        <f t="shared" si="0"/>
        <v>28</v>
      </c>
      <c r="B42" s="143" t="s">
        <v>620</v>
      </c>
      <c r="C42" s="247">
        <v>514</v>
      </c>
      <c r="D42" s="247">
        <v>515</v>
      </c>
      <c r="E42" s="246">
        <v>374</v>
      </c>
      <c r="F42" s="246">
        <v>0</v>
      </c>
      <c r="G42" s="247">
        <v>302</v>
      </c>
      <c r="H42" s="247">
        <v>300</v>
      </c>
      <c r="I42" s="247">
        <v>298</v>
      </c>
      <c r="J42" s="247">
        <v>334</v>
      </c>
      <c r="K42" s="247">
        <v>464</v>
      </c>
      <c r="L42" s="247">
        <v>470</v>
      </c>
      <c r="M42" s="247">
        <v>478</v>
      </c>
      <c r="N42" s="247">
        <v>424</v>
      </c>
      <c r="O42" s="247">
        <v>489</v>
      </c>
      <c r="P42" s="247">
        <v>513</v>
      </c>
    </row>
    <row r="43" spans="1:16" ht="12.75">
      <c r="A43" s="201">
        <f t="shared" si="0"/>
        <v>29</v>
      </c>
      <c r="B43" s="143" t="s">
        <v>621</v>
      </c>
      <c r="C43" s="247">
        <v>654</v>
      </c>
      <c r="D43" s="247">
        <v>685</v>
      </c>
      <c r="E43" s="246">
        <v>635</v>
      </c>
      <c r="F43" s="246">
        <v>0</v>
      </c>
      <c r="G43" s="247">
        <v>564</v>
      </c>
      <c r="H43" s="247">
        <v>591</v>
      </c>
      <c r="I43" s="247">
        <v>564</v>
      </c>
      <c r="J43" s="247">
        <v>636</v>
      </c>
      <c r="K43" s="247">
        <v>622</v>
      </c>
      <c r="L43" s="247">
        <v>685</v>
      </c>
      <c r="M43" s="247">
        <v>678</v>
      </c>
      <c r="N43" s="247">
        <v>685</v>
      </c>
      <c r="O43" s="247">
        <v>685</v>
      </c>
      <c r="P43" s="247">
        <v>659</v>
      </c>
    </row>
    <row r="44" spans="1:16" ht="12.75">
      <c r="A44" s="201">
        <f t="shared" si="0"/>
        <v>30</v>
      </c>
      <c r="B44" s="143" t="s">
        <v>622</v>
      </c>
      <c r="C44" s="247">
        <v>525</v>
      </c>
      <c r="D44" s="247">
        <v>504</v>
      </c>
      <c r="E44" s="246">
        <v>503</v>
      </c>
      <c r="F44" s="246">
        <v>0</v>
      </c>
      <c r="G44" s="247">
        <v>503</v>
      </c>
      <c r="H44" s="247">
        <v>503</v>
      </c>
      <c r="I44" s="247">
        <v>503</v>
      </c>
      <c r="J44" s="247">
        <v>503</v>
      </c>
      <c r="K44" s="247">
        <v>503</v>
      </c>
      <c r="L44" s="247">
        <v>503</v>
      </c>
      <c r="M44" s="247">
        <v>503</v>
      </c>
      <c r="N44" s="247">
        <v>503</v>
      </c>
      <c r="O44" s="247">
        <v>503</v>
      </c>
      <c r="P44" s="247">
        <v>503</v>
      </c>
    </row>
    <row r="45" spans="1:16" ht="12.75">
      <c r="A45" s="201">
        <f t="shared" si="0"/>
        <v>31</v>
      </c>
      <c r="B45" s="143" t="s">
        <v>623</v>
      </c>
      <c r="C45" s="247">
        <v>678</v>
      </c>
      <c r="D45" s="247">
        <v>700</v>
      </c>
      <c r="E45" s="246">
        <v>669</v>
      </c>
      <c r="F45" s="246">
        <v>0</v>
      </c>
      <c r="G45" s="247">
        <v>674</v>
      </c>
      <c r="H45" s="247">
        <v>640</v>
      </c>
      <c r="I45" s="247">
        <v>565</v>
      </c>
      <c r="J45" s="247">
        <v>562</v>
      </c>
      <c r="K45" s="247">
        <v>679</v>
      </c>
      <c r="L45" s="247">
        <v>646</v>
      </c>
      <c r="M45" s="247">
        <v>615</v>
      </c>
      <c r="N45" s="247">
        <v>615</v>
      </c>
      <c r="O45" s="247">
        <v>679</v>
      </c>
      <c r="P45" s="247">
        <v>700</v>
      </c>
    </row>
    <row r="46" spans="1:16" ht="12.75">
      <c r="A46" s="150"/>
      <c r="B46" s="150" t="s">
        <v>624</v>
      </c>
      <c r="C46" s="249">
        <f>SUM(C15:C45)</f>
        <v>27732</v>
      </c>
      <c r="D46" s="249">
        <f>SUM(D15:D45)</f>
        <v>27473</v>
      </c>
      <c r="E46" s="249">
        <f>SUM(E15:E45)</f>
        <v>22881</v>
      </c>
      <c r="F46" s="249">
        <f aca="true" t="shared" si="1" ref="F46:P46">SUM(F15:F45)</f>
        <v>0</v>
      </c>
      <c r="G46" s="249">
        <f t="shared" si="1"/>
        <v>20693</v>
      </c>
      <c r="H46" s="249">
        <f t="shared" si="1"/>
        <v>22902</v>
      </c>
      <c r="I46" s="249">
        <f t="shared" si="1"/>
        <v>20923</v>
      </c>
      <c r="J46" s="249">
        <f t="shared" si="1"/>
        <v>22314</v>
      </c>
      <c r="K46" s="249">
        <f>SUM(K15:K45)</f>
        <v>23558</v>
      </c>
      <c r="L46" s="249">
        <f>SUM(L15:L45)</f>
        <v>23916</v>
      </c>
      <c r="M46" s="249">
        <f>SUM(M15:M45)</f>
        <v>23818</v>
      </c>
      <c r="N46" s="249">
        <f t="shared" si="1"/>
        <v>25149</v>
      </c>
      <c r="O46" s="249">
        <f t="shared" si="1"/>
        <v>26461</v>
      </c>
      <c r="P46" s="249">
        <f t="shared" si="1"/>
        <v>26238</v>
      </c>
    </row>
    <row r="47" spans="5:16" ht="12.75"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52" spans="9:16" ht="14.25">
      <c r="I52" s="592" t="s">
        <v>860</v>
      </c>
      <c r="J52" s="592"/>
      <c r="K52" s="592"/>
      <c r="L52" s="592"/>
      <c r="M52" s="592"/>
      <c r="N52" s="592"/>
      <c r="O52" s="592"/>
      <c r="P52" s="592"/>
    </row>
    <row r="53" spans="9:16" ht="14.25">
      <c r="I53" s="592" t="s">
        <v>653</v>
      </c>
      <c r="J53" s="592"/>
      <c r="K53" s="592"/>
      <c r="L53" s="592"/>
      <c r="M53" s="592"/>
      <c r="N53" s="592"/>
      <c r="O53" s="592"/>
      <c r="P53" s="592"/>
    </row>
  </sheetData>
  <sheetProtection/>
  <mergeCells count="15">
    <mergeCell ref="E12:P12"/>
    <mergeCell ref="A2:P2"/>
    <mergeCell ref="A8:F8"/>
    <mergeCell ref="A9:F9"/>
    <mergeCell ref="K11:P11"/>
    <mergeCell ref="I52:P52"/>
    <mergeCell ref="I53:P53"/>
    <mergeCell ref="O1:P1"/>
    <mergeCell ref="H1:I1"/>
    <mergeCell ref="A3:P3"/>
    <mergeCell ref="A4:P4"/>
    <mergeCell ref="A12:A13"/>
    <mergeCell ref="B12:B13"/>
    <mergeCell ref="C12:C13"/>
    <mergeCell ref="D12:D13"/>
  </mergeCells>
  <printOptions horizontalCentered="1"/>
  <pageMargins left="0.47" right="0.44" top="0.45" bottom="0" header="0.31496062992125984" footer="0.31496062992125984"/>
  <pageSetup fitToHeight="1" fitToWidth="1" horizontalDpi="600" verticalDpi="600" orientation="landscape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9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9.140625" style="6" customWidth="1"/>
    <col min="2" max="2" width="20.00390625" style="6" customWidth="1"/>
    <col min="3" max="3" width="9.140625" style="6" customWidth="1"/>
    <col min="4" max="4" width="8.421875" style="6" customWidth="1"/>
    <col min="5" max="5" width="12.8515625" style="6" customWidth="1"/>
    <col min="6" max="6" width="16.00390625" style="6" customWidth="1"/>
    <col min="7" max="7" width="15.28125" style="6" customWidth="1"/>
    <col min="8" max="8" width="17.00390625" style="6" customWidth="1"/>
    <col min="9" max="9" width="18.00390625" style="6" customWidth="1"/>
    <col min="10" max="10" width="11.140625" style="6" customWidth="1"/>
    <col min="11" max="11" width="12.7109375" style="6" customWidth="1"/>
    <col min="12" max="12" width="11.421875" style="6" customWidth="1"/>
    <col min="13" max="13" width="15.421875" style="6" customWidth="1"/>
    <col min="14" max="16384" width="9.140625" style="6" customWidth="1"/>
  </cols>
  <sheetData>
    <row r="1" spans="3:16" ht="15.75">
      <c r="C1" s="562" t="s">
        <v>0</v>
      </c>
      <c r="D1" s="562"/>
      <c r="E1" s="562"/>
      <c r="F1" s="562"/>
      <c r="G1" s="562"/>
      <c r="H1" s="562"/>
      <c r="I1" s="562"/>
      <c r="J1" s="49"/>
      <c r="K1" s="49"/>
      <c r="L1" s="800" t="s">
        <v>526</v>
      </c>
      <c r="M1" s="800"/>
      <c r="N1" s="49"/>
      <c r="O1" s="49"/>
      <c r="P1" s="49"/>
    </row>
    <row r="2" spans="1:16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26"/>
      <c r="O2" s="26"/>
      <c r="P2" s="26"/>
    </row>
    <row r="3" spans="3:16" ht="20.25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26"/>
      <c r="O3" s="26"/>
      <c r="P3" s="26"/>
    </row>
    <row r="4" spans="1:13" ht="20.25" customHeight="1">
      <c r="A4" s="812" t="s">
        <v>525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</row>
    <row r="5" spans="1:14" ht="20.25" customHeight="1">
      <c r="A5" s="814" t="s">
        <v>670</v>
      </c>
      <c r="B5" s="814"/>
      <c r="C5" s="814"/>
      <c r="D5" s="814"/>
      <c r="E5" s="814"/>
      <c r="F5" s="814"/>
      <c r="G5" s="814"/>
      <c r="H5" s="656" t="s">
        <v>750</v>
      </c>
      <c r="I5" s="656"/>
      <c r="J5" s="656"/>
      <c r="K5" s="656"/>
      <c r="L5" s="656"/>
      <c r="M5" s="656"/>
      <c r="N5" s="46"/>
    </row>
    <row r="6" spans="1:13" ht="15" customHeight="1">
      <c r="A6" s="729" t="s">
        <v>70</v>
      </c>
      <c r="B6" s="729" t="s">
        <v>289</v>
      </c>
      <c r="C6" s="815" t="s">
        <v>412</v>
      </c>
      <c r="D6" s="816"/>
      <c r="E6" s="816"/>
      <c r="F6" s="816"/>
      <c r="G6" s="817"/>
      <c r="H6" s="733" t="s">
        <v>409</v>
      </c>
      <c r="I6" s="733"/>
      <c r="J6" s="733"/>
      <c r="K6" s="733"/>
      <c r="L6" s="733"/>
      <c r="M6" s="729" t="s">
        <v>290</v>
      </c>
    </row>
    <row r="7" spans="1:13" ht="12.75" customHeight="1">
      <c r="A7" s="730"/>
      <c r="B7" s="730"/>
      <c r="C7" s="818"/>
      <c r="D7" s="819"/>
      <c r="E7" s="819"/>
      <c r="F7" s="819"/>
      <c r="G7" s="820"/>
      <c r="H7" s="733"/>
      <c r="I7" s="733"/>
      <c r="J7" s="733"/>
      <c r="K7" s="733"/>
      <c r="L7" s="733"/>
      <c r="M7" s="730"/>
    </row>
    <row r="8" spans="1:13" ht="5.25" customHeight="1">
      <c r="A8" s="730"/>
      <c r="B8" s="730"/>
      <c r="C8" s="818"/>
      <c r="D8" s="819"/>
      <c r="E8" s="819"/>
      <c r="F8" s="819"/>
      <c r="G8" s="820"/>
      <c r="H8" s="733"/>
      <c r="I8" s="733"/>
      <c r="J8" s="733"/>
      <c r="K8" s="733"/>
      <c r="L8" s="733"/>
      <c r="M8" s="730"/>
    </row>
    <row r="9" spans="1:13" ht="68.25" customHeight="1">
      <c r="A9" s="731"/>
      <c r="B9" s="731"/>
      <c r="C9" s="443" t="s">
        <v>291</v>
      </c>
      <c r="D9" s="443" t="s">
        <v>292</v>
      </c>
      <c r="E9" s="443" t="s">
        <v>293</v>
      </c>
      <c r="F9" s="443" t="s">
        <v>294</v>
      </c>
      <c r="G9" s="443" t="s">
        <v>295</v>
      </c>
      <c r="H9" s="444" t="s">
        <v>408</v>
      </c>
      <c r="I9" s="444" t="s">
        <v>413</v>
      </c>
      <c r="J9" s="444" t="s">
        <v>410</v>
      </c>
      <c r="K9" s="444" t="s">
        <v>411</v>
      </c>
      <c r="L9" s="444" t="s">
        <v>43</v>
      </c>
      <c r="M9" s="731"/>
    </row>
    <row r="10" spans="1:13" ht="14.25">
      <c r="A10" s="2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</row>
    <row r="11" spans="1:13" ht="14.25" customHeight="1">
      <c r="A11" s="201">
        <v>1</v>
      </c>
      <c r="B11" s="201" t="s">
        <v>633</v>
      </c>
      <c r="C11" s="821" t="s">
        <v>638</v>
      </c>
      <c r="D11" s="822"/>
      <c r="E11" s="822"/>
      <c r="F11" s="822"/>
      <c r="G11" s="822"/>
      <c r="H11" s="822"/>
      <c r="I11" s="822"/>
      <c r="J11" s="822"/>
      <c r="K11" s="822"/>
      <c r="L11" s="822"/>
      <c r="M11" s="823"/>
    </row>
    <row r="12" spans="1:13" ht="14.25" customHeight="1">
      <c r="A12" s="201">
        <f>A11+1</f>
        <v>2</v>
      </c>
      <c r="B12" s="201" t="s">
        <v>598</v>
      </c>
      <c r="C12" s="824"/>
      <c r="D12" s="825"/>
      <c r="E12" s="825"/>
      <c r="F12" s="825"/>
      <c r="G12" s="825"/>
      <c r="H12" s="825"/>
      <c r="I12" s="825"/>
      <c r="J12" s="825"/>
      <c r="K12" s="825"/>
      <c r="L12" s="825"/>
      <c r="M12" s="826"/>
    </row>
    <row r="13" spans="1:13" ht="14.25" customHeight="1">
      <c r="A13" s="201">
        <f aca="true" t="shared" si="0" ref="A13:A41">A12+1</f>
        <v>3</v>
      </c>
      <c r="B13" s="201" t="s">
        <v>634</v>
      </c>
      <c r="C13" s="824"/>
      <c r="D13" s="825"/>
      <c r="E13" s="825"/>
      <c r="F13" s="825"/>
      <c r="G13" s="825"/>
      <c r="H13" s="825"/>
      <c r="I13" s="825"/>
      <c r="J13" s="825"/>
      <c r="K13" s="825"/>
      <c r="L13" s="825"/>
      <c r="M13" s="826"/>
    </row>
    <row r="14" spans="1:13" ht="14.25" customHeight="1">
      <c r="A14" s="201">
        <f t="shared" si="0"/>
        <v>4</v>
      </c>
      <c r="B14" s="201" t="s">
        <v>599</v>
      </c>
      <c r="C14" s="824"/>
      <c r="D14" s="825"/>
      <c r="E14" s="825"/>
      <c r="F14" s="825"/>
      <c r="G14" s="825"/>
      <c r="H14" s="825"/>
      <c r="I14" s="825"/>
      <c r="J14" s="825"/>
      <c r="K14" s="825"/>
      <c r="L14" s="825"/>
      <c r="M14" s="826"/>
    </row>
    <row r="15" spans="1:13" ht="14.25" customHeight="1">
      <c r="A15" s="201">
        <f t="shared" si="0"/>
        <v>5</v>
      </c>
      <c r="B15" s="201" t="s">
        <v>600</v>
      </c>
      <c r="C15" s="824"/>
      <c r="D15" s="825"/>
      <c r="E15" s="825"/>
      <c r="F15" s="825"/>
      <c r="G15" s="825"/>
      <c r="H15" s="825"/>
      <c r="I15" s="825"/>
      <c r="J15" s="825"/>
      <c r="K15" s="825"/>
      <c r="L15" s="825"/>
      <c r="M15" s="826"/>
    </row>
    <row r="16" spans="1:13" ht="14.25" customHeight="1">
      <c r="A16" s="201">
        <f t="shared" si="0"/>
        <v>6</v>
      </c>
      <c r="B16" s="201" t="s">
        <v>601</v>
      </c>
      <c r="C16" s="824"/>
      <c r="D16" s="825"/>
      <c r="E16" s="825"/>
      <c r="F16" s="825"/>
      <c r="G16" s="825"/>
      <c r="H16" s="825"/>
      <c r="I16" s="825"/>
      <c r="J16" s="825"/>
      <c r="K16" s="825"/>
      <c r="L16" s="825"/>
      <c r="M16" s="826"/>
    </row>
    <row r="17" spans="1:13" ht="14.25" customHeight="1">
      <c r="A17" s="201">
        <f t="shared" si="0"/>
        <v>7</v>
      </c>
      <c r="B17" s="201" t="s">
        <v>602</v>
      </c>
      <c r="C17" s="824"/>
      <c r="D17" s="825"/>
      <c r="E17" s="825"/>
      <c r="F17" s="825"/>
      <c r="G17" s="825"/>
      <c r="H17" s="825"/>
      <c r="I17" s="825"/>
      <c r="J17" s="825"/>
      <c r="K17" s="825"/>
      <c r="L17" s="825"/>
      <c r="M17" s="826"/>
    </row>
    <row r="18" spans="1:13" ht="14.25" customHeight="1">
      <c r="A18" s="201">
        <f t="shared" si="0"/>
        <v>8</v>
      </c>
      <c r="B18" s="201" t="s">
        <v>603</v>
      </c>
      <c r="C18" s="824"/>
      <c r="D18" s="825"/>
      <c r="E18" s="825"/>
      <c r="F18" s="825"/>
      <c r="G18" s="825"/>
      <c r="H18" s="825"/>
      <c r="I18" s="825"/>
      <c r="J18" s="825"/>
      <c r="K18" s="825"/>
      <c r="L18" s="825"/>
      <c r="M18" s="826"/>
    </row>
    <row r="19" spans="1:13" ht="14.25" customHeight="1">
      <c r="A19" s="201">
        <f t="shared" si="0"/>
        <v>9</v>
      </c>
      <c r="B19" s="201" t="s">
        <v>604</v>
      </c>
      <c r="C19" s="824"/>
      <c r="D19" s="825"/>
      <c r="E19" s="825"/>
      <c r="F19" s="825"/>
      <c r="G19" s="825"/>
      <c r="H19" s="825"/>
      <c r="I19" s="825"/>
      <c r="J19" s="825"/>
      <c r="K19" s="825"/>
      <c r="L19" s="825"/>
      <c r="M19" s="826"/>
    </row>
    <row r="20" spans="1:13" ht="14.25" customHeight="1">
      <c r="A20" s="201">
        <f t="shared" si="0"/>
        <v>10</v>
      </c>
      <c r="B20" s="201" t="s">
        <v>605</v>
      </c>
      <c r="C20" s="824"/>
      <c r="D20" s="825"/>
      <c r="E20" s="825"/>
      <c r="F20" s="825"/>
      <c r="G20" s="825"/>
      <c r="H20" s="825"/>
      <c r="I20" s="825"/>
      <c r="J20" s="825"/>
      <c r="K20" s="825"/>
      <c r="L20" s="825"/>
      <c r="M20" s="826"/>
    </row>
    <row r="21" spans="1:13" ht="14.25" customHeight="1">
      <c r="A21" s="201">
        <f t="shared" si="0"/>
        <v>11</v>
      </c>
      <c r="B21" s="201" t="s">
        <v>635</v>
      </c>
      <c r="C21" s="824"/>
      <c r="D21" s="825"/>
      <c r="E21" s="825"/>
      <c r="F21" s="825"/>
      <c r="G21" s="825"/>
      <c r="H21" s="825"/>
      <c r="I21" s="825"/>
      <c r="J21" s="825"/>
      <c r="K21" s="825"/>
      <c r="L21" s="825"/>
      <c r="M21" s="826"/>
    </row>
    <row r="22" spans="1:13" ht="14.25" customHeight="1">
      <c r="A22" s="201">
        <f t="shared" si="0"/>
        <v>12</v>
      </c>
      <c r="B22" s="201" t="s">
        <v>606</v>
      </c>
      <c r="C22" s="824"/>
      <c r="D22" s="825"/>
      <c r="E22" s="825"/>
      <c r="F22" s="825"/>
      <c r="G22" s="825"/>
      <c r="H22" s="825"/>
      <c r="I22" s="825"/>
      <c r="J22" s="825"/>
      <c r="K22" s="825"/>
      <c r="L22" s="825"/>
      <c r="M22" s="826"/>
    </row>
    <row r="23" spans="1:13" ht="14.25" customHeight="1">
      <c r="A23" s="201">
        <f t="shared" si="0"/>
        <v>13</v>
      </c>
      <c r="B23" s="201" t="s">
        <v>607</v>
      </c>
      <c r="C23" s="824"/>
      <c r="D23" s="825"/>
      <c r="E23" s="825"/>
      <c r="F23" s="825"/>
      <c r="G23" s="825"/>
      <c r="H23" s="825"/>
      <c r="I23" s="825"/>
      <c r="J23" s="825"/>
      <c r="K23" s="825"/>
      <c r="L23" s="825"/>
      <c r="M23" s="826"/>
    </row>
    <row r="24" spans="1:13" ht="14.25" customHeight="1">
      <c r="A24" s="201">
        <f t="shared" si="0"/>
        <v>14</v>
      </c>
      <c r="B24" s="201" t="s">
        <v>636</v>
      </c>
      <c r="C24" s="824"/>
      <c r="D24" s="825"/>
      <c r="E24" s="825"/>
      <c r="F24" s="825"/>
      <c r="G24" s="825"/>
      <c r="H24" s="825"/>
      <c r="I24" s="825"/>
      <c r="J24" s="825"/>
      <c r="K24" s="825"/>
      <c r="L24" s="825"/>
      <c r="M24" s="826"/>
    </row>
    <row r="25" spans="1:13" ht="14.25" customHeight="1">
      <c r="A25" s="201">
        <f t="shared" si="0"/>
        <v>15</v>
      </c>
      <c r="B25" s="201" t="s">
        <v>608</v>
      </c>
      <c r="C25" s="824"/>
      <c r="D25" s="825"/>
      <c r="E25" s="825"/>
      <c r="F25" s="825"/>
      <c r="G25" s="825"/>
      <c r="H25" s="825"/>
      <c r="I25" s="825"/>
      <c r="J25" s="825"/>
      <c r="K25" s="825"/>
      <c r="L25" s="825"/>
      <c r="M25" s="826"/>
    </row>
    <row r="26" spans="1:13" ht="14.25" customHeight="1">
      <c r="A26" s="201">
        <f t="shared" si="0"/>
        <v>16</v>
      </c>
      <c r="B26" s="201" t="s">
        <v>609</v>
      </c>
      <c r="C26" s="824"/>
      <c r="D26" s="825"/>
      <c r="E26" s="825"/>
      <c r="F26" s="825"/>
      <c r="G26" s="825"/>
      <c r="H26" s="825"/>
      <c r="I26" s="825"/>
      <c r="J26" s="825"/>
      <c r="K26" s="825"/>
      <c r="L26" s="825"/>
      <c r="M26" s="826"/>
    </row>
    <row r="27" spans="1:13" ht="14.25" customHeight="1">
      <c r="A27" s="201">
        <f t="shared" si="0"/>
        <v>17</v>
      </c>
      <c r="B27" s="201" t="s">
        <v>610</v>
      </c>
      <c r="C27" s="824"/>
      <c r="D27" s="825"/>
      <c r="E27" s="825"/>
      <c r="F27" s="825"/>
      <c r="G27" s="825"/>
      <c r="H27" s="825"/>
      <c r="I27" s="825"/>
      <c r="J27" s="825"/>
      <c r="K27" s="825"/>
      <c r="L27" s="825"/>
      <c r="M27" s="826"/>
    </row>
    <row r="28" spans="1:13" ht="14.25" customHeight="1">
      <c r="A28" s="201">
        <f t="shared" si="0"/>
        <v>18</v>
      </c>
      <c r="B28" s="201" t="s">
        <v>611</v>
      </c>
      <c r="C28" s="824"/>
      <c r="D28" s="825"/>
      <c r="E28" s="825"/>
      <c r="F28" s="825"/>
      <c r="G28" s="825"/>
      <c r="H28" s="825"/>
      <c r="I28" s="825"/>
      <c r="J28" s="825"/>
      <c r="K28" s="825"/>
      <c r="L28" s="825"/>
      <c r="M28" s="826"/>
    </row>
    <row r="29" spans="1:13" ht="14.25" customHeight="1">
      <c r="A29" s="201">
        <f t="shared" si="0"/>
        <v>19</v>
      </c>
      <c r="B29" s="201" t="s">
        <v>637</v>
      </c>
      <c r="C29" s="824"/>
      <c r="D29" s="825"/>
      <c r="E29" s="825"/>
      <c r="F29" s="825"/>
      <c r="G29" s="825"/>
      <c r="H29" s="825"/>
      <c r="I29" s="825"/>
      <c r="J29" s="825"/>
      <c r="K29" s="825"/>
      <c r="L29" s="825"/>
      <c r="M29" s="826"/>
    </row>
    <row r="30" spans="1:13" ht="14.25" customHeight="1">
      <c r="A30" s="201">
        <f t="shared" si="0"/>
        <v>20</v>
      </c>
      <c r="B30" s="201" t="s">
        <v>612</v>
      </c>
      <c r="C30" s="824"/>
      <c r="D30" s="825"/>
      <c r="E30" s="825"/>
      <c r="F30" s="825"/>
      <c r="G30" s="825"/>
      <c r="H30" s="825"/>
      <c r="I30" s="825"/>
      <c r="J30" s="825"/>
      <c r="K30" s="825"/>
      <c r="L30" s="825"/>
      <c r="M30" s="826"/>
    </row>
    <row r="31" spans="1:13" ht="14.25" customHeight="1">
      <c r="A31" s="201">
        <f t="shared" si="0"/>
        <v>21</v>
      </c>
      <c r="B31" s="201" t="s">
        <v>613</v>
      </c>
      <c r="C31" s="824"/>
      <c r="D31" s="825"/>
      <c r="E31" s="825"/>
      <c r="F31" s="825"/>
      <c r="G31" s="825"/>
      <c r="H31" s="825"/>
      <c r="I31" s="825"/>
      <c r="J31" s="825"/>
      <c r="K31" s="825"/>
      <c r="L31" s="825"/>
      <c r="M31" s="826"/>
    </row>
    <row r="32" spans="1:13" ht="14.25" customHeight="1">
      <c r="A32" s="201">
        <f t="shared" si="0"/>
        <v>22</v>
      </c>
      <c r="B32" s="201" t="s">
        <v>614</v>
      </c>
      <c r="C32" s="824"/>
      <c r="D32" s="825"/>
      <c r="E32" s="825"/>
      <c r="F32" s="825"/>
      <c r="G32" s="825"/>
      <c r="H32" s="825"/>
      <c r="I32" s="825"/>
      <c r="J32" s="825"/>
      <c r="K32" s="825"/>
      <c r="L32" s="825"/>
      <c r="M32" s="826"/>
    </row>
    <row r="33" spans="1:13" ht="14.25" customHeight="1">
      <c r="A33" s="201">
        <f t="shared" si="0"/>
        <v>23</v>
      </c>
      <c r="B33" s="201" t="s">
        <v>615</v>
      </c>
      <c r="C33" s="824"/>
      <c r="D33" s="825"/>
      <c r="E33" s="825"/>
      <c r="F33" s="825"/>
      <c r="G33" s="825"/>
      <c r="H33" s="825"/>
      <c r="I33" s="825"/>
      <c r="J33" s="825"/>
      <c r="K33" s="825"/>
      <c r="L33" s="825"/>
      <c r="M33" s="826"/>
    </row>
    <row r="34" spans="1:13" ht="14.25" customHeight="1">
      <c r="A34" s="201">
        <f t="shared" si="0"/>
        <v>24</v>
      </c>
      <c r="B34" s="201" t="s">
        <v>616</v>
      </c>
      <c r="C34" s="824"/>
      <c r="D34" s="825"/>
      <c r="E34" s="825"/>
      <c r="F34" s="825"/>
      <c r="G34" s="825"/>
      <c r="H34" s="825"/>
      <c r="I34" s="825"/>
      <c r="J34" s="825"/>
      <c r="K34" s="825"/>
      <c r="L34" s="825"/>
      <c r="M34" s="826"/>
    </row>
    <row r="35" spans="1:13" ht="12.75">
      <c r="A35" s="201">
        <f t="shared" si="0"/>
        <v>25</v>
      </c>
      <c r="B35" s="201" t="s">
        <v>617</v>
      </c>
      <c r="C35" s="824"/>
      <c r="D35" s="825"/>
      <c r="E35" s="825"/>
      <c r="F35" s="825"/>
      <c r="G35" s="825"/>
      <c r="H35" s="825"/>
      <c r="I35" s="825"/>
      <c r="J35" s="825"/>
      <c r="K35" s="825"/>
      <c r="L35" s="825"/>
      <c r="M35" s="826"/>
    </row>
    <row r="36" spans="1:13" ht="12.75">
      <c r="A36" s="201">
        <f t="shared" si="0"/>
        <v>26</v>
      </c>
      <c r="B36" s="201" t="s">
        <v>618</v>
      </c>
      <c r="C36" s="824"/>
      <c r="D36" s="825"/>
      <c r="E36" s="825"/>
      <c r="F36" s="825"/>
      <c r="G36" s="825"/>
      <c r="H36" s="825"/>
      <c r="I36" s="825"/>
      <c r="J36" s="825"/>
      <c r="K36" s="825"/>
      <c r="L36" s="825"/>
      <c r="M36" s="826"/>
    </row>
    <row r="37" spans="1:13" ht="12.75">
      <c r="A37" s="201">
        <f t="shared" si="0"/>
        <v>27</v>
      </c>
      <c r="B37" s="201" t="s">
        <v>619</v>
      </c>
      <c r="C37" s="824"/>
      <c r="D37" s="825"/>
      <c r="E37" s="825"/>
      <c r="F37" s="825"/>
      <c r="G37" s="825"/>
      <c r="H37" s="825"/>
      <c r="I37" s="825"/>
      <c r="J37" s="825"/>
      <c r="K37" s="825"/>
      <c r="L37" s="825"/>
      <c r="M37" s="826"/>
    </row>
    <row r="38" spans="1:13" ht="12.75">
      <c r="A38" s="201">
        <f t="shared" si="0"/>
        <v>28</v>
      </c>
      <c r="B38" s="143" t="s">
        <v>620</v>
      </c>
      <c r="C38" s="824"/>
      <c r="D38" s="825"/>
      <c r="E38" s="825"/>
      <c r="F38" s="825"/>
      <c r="G38" s="825"/>
      <c r="H38" s="825"/>
      <c r="I38" s="825"/>
      <c r="J38" s="825"/>
      <c r="K38" s="825"/>
      <c r="L38" s="825"/>
      <c r="M38" s="826"/>
    </row>
    <row r="39" spans="1:13" ht="12.75">
      <c r="A39" s="201">
        <f t="shared" si="0"/>
        <v>29</v>
      </c>
      <c r="B39" s="143" t="s">
        <v>621</v>
      </c>
      <c r="C39" s="824"/>
      <c r="D39" s="825"/>
      <c r="E39" s="825"/>
      <c r="F39" s="825"/>
      <c r="G39" s="825"/>
      <c r="H39" s="825"/>
      <c r="I39" s="825"/>
      <c r="J39" s="825"/>
      <c r="K39" s="825"/>
      <c r="L39" s="825"/>
      <c r="M39" s="826"/>
    </row>
    <row r="40" spans="1:13" ht="12.75">
      <c r="A40" s="201">
        <f t="shared" si="0"/>
        <v>30</v>
      </c>
      <c r="B40" s="143" t="s">
        <v>622</v>
      </c>
      <c r="C40" s="824"/>
      <c r="D40" s="825"/>
      <c r="E40" s="825"/>
      <c r="F40" s="825"/>
      <c r="G40" s="825"/>
      <c r="H40" s="825"/>
      <c r="I40" s="825"/>
      <c r="J40" s="825"/>
      <c r="K40" s="825"/>
      <c r="L40" s="825"/>
      <c r="M40" s="826"/>
    </row>
    <row r="41" spans="1:13" ht="12.75">
      <c r="A41" s="201">
        <f t="shared" si="0"/>
        <v>31</v>
      </c>
      <c r="B41" s="143" t="s">
        <v>623</v>
      </c>
      <c r="C41" s="824"/>
      <c r="D41" s="825"/>
      <c r="E41" s="825"/>
      <c r="F41" s="825"/>
      <c r="G41" s="825"/>
      <c r="H41" s="825"/>
      <c r="I41" s="825"/>
      <c r="J41" s="825"/>
      <c r="K41" s="825"/>
      <c r="L41" s="825"/>
      <c r="M41" s="826"/>
    </row>
    <row r="42" spans="1:13" ht="12.75">
      <c r="A42" s="150"/>
      <c r="B42" s="150" t="s">
        <v>624</v>
      </c>
      <c r="C42" s="824"/>
      <c r="D42" s="825"/>
      <c r="E42" s="825"/>
      <c r="F42" s="825"/>
      <c r="G42" s="825"/>
      <c r="H42" s="825"/>
      <c r="I42" s="825"/>
      <c r="J42" s="825"/>
      <c r="K42" s="825"/>
      <c r="L42" s="825"/>
      <c r="M42" s="826"/>
    </row>
    <row r="43" spans="1:13" ht="12.75">
      <c r="A43" s="17" t="s">
        <v>16</v>
      </c>
      <c r="B43" s="8"/>
      <c r="C43" s="827"/>
      <c r="D43" s="828"/>
      <c r="E43" s="828"/>
      <c r="F43" s="828"/>
      <c r="G43" s="828"/>
      <c r="H43" s="828"/>
      <c r="I43" s="828"/>
      <c r="J43" s="828"/>
      <c r="K43" s="828"/>
      <c r="L43" s="828"/>
      <c r="M43" s="829"/>
    </row>
    <row r="44" spans="2:6" ht="16.5" customHeight="1">
      <c r="B44" s="145"/>
      <c r="C44" s="813"/>
      <c r="D44" s="813"/>
      <c r="E44" s="813"/>
      <c r="F44" s="813"/>
    </row>
    <row r="48" spans="10:13" ht="14.25">
      <c r="J48" s="592" t="s">
        <v>860</v>
      </c>
      <c r="K48" s="592"/>
      <c r="L48" s="592"/>
      <c r="M48" s="592"/>
    </row>
    <row r="49" spans="10:13" ht="14.25">
      <c r="J49" s="592" t="s">
        <v>653</v>
      </c>
      <c r="K49" s="592"/>
      <c r="L49" s="592"/>
      <c r="M49" s="592"/>
    </row>
  </sheetData>
  <sheetProtection/>
  <mergeCells count="15">
    <mergeCell ref="A6:A9"/>
    <mergeCell ref="B6:B9"/>
    <mergeCell ref="C6:G8"/>
    <mergeCell ref="C11:M43"/>
    <mergeCell ref="A2:M2"/>
    <mergeCell ref="J49:M49"/>
    <mergeCell ref="L1:M1"/>
    <mergeCell ref="C1:I1"/>
    <mergeCell ref="A4:M4"/>
    <mergeCell ref="J48:M48"/>
    <mergeCell ref="C44:F44"/>
    <mergeCell ref="H6:L8"/>
    <mergeCell ref="H5:M5"/>
    <mergeCell ref="A5:G5"/>
    <mergeCell ref="M6:M9"/>
  </mergeCells>
  <printOptions horizontalCentered="1"/>
  <pageMargins left="0.42" right="0.41" top="0.41" bottom="0" header="0.31496062992125984" footer="0.31496062992125984"/>
  <pageSetup fitToHeight="1" fitToWidth="1" horizontalDpi="600" verticalDpi="600" orientation="landscape" paperSize="9" scale="69" r:id="rId1"/>
  <colBreaks count="1" manualBreakCount="1">
    <brk id="13" max="655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55" zoomScaleNormal="70" zoomScaleSheetLayoutView="55" zoomScalePageLayoutView="0" workbookViewId="0" topLeftCell="A13">
      <selection activeCell="P23" sqref="P23"/>
    </sheetView>
  </sheetViews>
  <sheetFormatPr defaultColWidth="9.140625" defaultRowHeight="12.75"/>
  <cols>
    <col min="1" max="1" width="36.00390625" style="6" customWidth="1"/>
    <col min="2" max="2" width="25.7109375" style="6" customWidth="1"/>
    <col min="3" max="3" width="21.8515625" style="6" customWidth="1"/>
    <col min="4" max="4" width="22.57421875" style="6" customWidth="1"/>
    <col min="5" max="5" width="19.421875" style="6" customWidth="1"/>
    <col min="6" max="6" width="17.421875" style="6" customWidth="1"/>
    <col min="7" max="16384" width="9.140625" style="6" customWidth="1"/>
  </cols>
  <sheetData>
    <row r="1" spans="1:12" ht="15.75">
      <c r="A1" s="562" t="s">
        <v>0</v>
      </c>
      <c r="B1" s="562"/>
      <c r="C1" s="562"/>
      <c r="D1" s="562"/>
      <c r="E1" s="562"/>
      <c r="F1" s="209" t="s">
        <v>528</v>
      </c>
      <c r="G1" s="49"/>
      <c r="H1" s="49"/>
      <c r="I1" s="49"/>
      <c r="J1" s="49"/>
      <c r="K1" s="49"/>
      <c r="L1" s="49"/>
    </row>
    <row r="2" spans="1:12" ht="20.25">
      <c r="A2" s="563" t="s">
        <v>695</v>
      </c>
      <c r="B2" s="563"/>
      <c r="C2" s="563"/>
      <c r="D2" s="563"/>
      <c r="E2" s="563"/>
      <c r="F2" s="563"/>
      <c r="G2" s="26"/>
      <c r="H2" s="26"/>
      <c r="I2" s="26"/>
      <c r="J2" s="26"/>
      <c r="K2" s="26"/>
      <c r="L2" s="26"/>
    </row>
    <row r="3" spans="1:6" ht="12.75">
      <c r="A3" s="169"/>
      <c r="B3" s="169"/>
      <c r="C3" s="169"/>
      <c r="D3" s="169"/>
      <c r="E3" s="169"/>
      <c r="F3" s="169"/>
    </row>
    <row r="4" spans="1:7" ht="18">
      <c r="A4" s="830" t="s">
        <v>527</v>
      </c>
      <c r="B4" s="830"/>
      <c r="C4" s="830"/>
      <c r="D4" s="830"/>
      <c r="E4" s="830"/>
      <c r="F4" s="830"/>
      <c r="G4" s="830"/>
    </row>
    <row r="5" spans="1:7" ht="18">
      <c r="A5" s="76" t="s">
        <v>671</v>
      </c>
      <c r="B5" s="216"/>
      <c r="C5" s="216"/>
      <c r="D5" s="216"/>
      <c r="E5" s="216"/>
      <c r="F5" s="216"/>
      <c r="G5" s="216"/>
    </row>
    <row r="6" spans="1:6" ht="31.5">
      <c r="A6" s="217"/>
      <c r="B6" s="218" t="s">
        <v>319</v>
      </c>
      <c r="C6" s="218" t="s">
        <v>320</v>
      </c>
      <c r="D6" s="218" t="s">
        <v>321</v>
      </c>
      <c r="E6" s="219"/>
      <c r="F6" s="219"/>
    </row>
    <row r="7" spans="1:6" ht="15">
      <c r="A7" s="220" t="s">
        <v>322</v>
      </c>
      <c r="B7" s="220" t="s">
        <v>689</v>
      </c>
      <c r="C7" s="220" t="s">
        <v>674</v>
      </c>
      <c r="D7" s="220" t="s">
        <v>674</v>
      </c>
      <c r="E7" s="219"/>
      <c r="F7" s="219"/>
    </row>
    <row r="8" spans="1:6" ht="13.5" customHeight="1">
      <c r="A8" s="220" t="s">
        <v>323</v>
      </c>
      <c r="B8" s="220" t="s">
        <v>689</v>
      </c>
      <c r="C8" s="220" t="s">
        <v>674</v>
      </c>
      <c r="D8" s="220" t="s">
        <v>674</v>
      </c>
      <c r="E8" s="219"/>
      <c r="F8" s="219"/>
    </row>
    <row r="9" spans="1:6" ht="13.5" customHeight="1">
      <c r="A9" s="220" t="s">
        <v>324</v>
      </c>
      <c r="B9" s="220"/>
      <c r="C9" s="220"/>
      <c r="D9" s="220"/>
      <c r="E9" s="219"/>
      <c r="F9" s="219"/>
    </row>
    <row r="10" spans="1:6" ht="13.5" customHeight="1">
      <c r="A10" s="221" t="s">
        <v>625</v>
      </c>
      <c r="B10" s="220" t="s">
        <v>689</v>
      </c>
      <c r="C10" s="220" t="s">
        <v>674</v>
      </c>
      <c r="D10" s="220" t="s">
        <v>674</v>
      </c>
      <c r="E10" s="219"/>
      <c r="F10" s="219"/>
    </row>
    <row r="11" spans="1:6" ht="13.5" customHeight="1">
      <c r="A11" s="221" t="s">
        <v>626</v>
      </c>
      <c r="B11" s="220"/>
      <c r="C11" s="220"/>
      <c r="D11" s="220"/>
      <c r="E11" s="219"/>
      <c r="F11" s="219"/>
    </row>
    <row r="12" spans="1:6" ht="13.5" customHeight="1">
      <c r="A12" s="221" t="s">
        <v>627</v>
      </c>
      <c r="B12" s="220"/>
      <c r="C12" s="220"/>
      <c r="D12" s="220"/>
      <c r="E12" s="219"/>
      <c r="F12" s="219"/>
    </row>
    <row r="13" spans="1:6" ht="13.5" customHeight="1">
      <c r="A13" s="221" t="s">
        <v>628</v>
      </c>
      <c r="B13" s="220" t="s">
        <v>689</v>
      </c>
      <c r="C13" s="220" t="s">
        <v>689</v>
      </c>
      <c r="D13" s="220" t="s">
        <v>689</v>
      </c>
      <c r="E13" s="219"/>
      <c r="F13" s="219"/>
    </row>
    <row r="14" spans="1:6" ht="13.5" customHeight="1">
      <c r="A14" s="221" t="s">
        <v>629</v>
      </c>
      <c r="B14" s="220"/>
      <c r="C14" s="220"/>
      <c r="D14" s="220"/>
      <c r="E14" s="219"/>
      <c r="F14" s="219"/>
    </row>
    <row r="15" spans="1:6" ht="13.5" customHeight="1">
      <c r="A15" s="221" t="s">
        <v>630</v>
      </c>
      <c r="B15" s="220"/>
      <c r="C15" s="220"/>
      <c r="D15" s="220"/>
      <c r="E15" s="219"/>
      <c r="F15" s="219"/>
    </row>
    <row r="16" spans="1:6" ht="13.5" customHeight="1">
      <c r="A16" s="221" t="s">
        <v>631</v>
      </c>
      <c r="B16" s="220" t="s">
        <v>689</v>
      </c>
      <c r="C16" s="220" t="s">
        <v>689</v>
      </c>
      <c r="D16" s="220" t="s">
        <v>689</v>
      </c>
      <c r="E16" s="219"/>
      <c r="F16" s="219"/>
    </row>
    <row r="17" spans="1:6" ht="13.5" customHeight="1">
      <c r="A17" s="221" t="s">
        <v>632</v>
      </c>
      <c r="B17" s="220" t="s">
        <v>689</v>
      </c>
      <c r="C17" s="220" t="s">
        <v>689</v>
      </c>
      <c r="D17" s="220" t="s">
        <v>689</v>
      </c>
      <c r="E17" s="219"/>
      <c r="F17" s="219"/>
    </row>
    <row r="18" spans="1:6" ht="13.5" customHeight="1">
      <c r="A18" s="222"/>
      <c r="B18" s="223"/>
      <c r="C18" s="223"/>
      <c r="D18" s="223"/>
      <c r="E18" s="219"/>
      <c r="F18" s="219"/>
    </row>
    <row r="19" spans="1:7" ht="13.5" customHeight="1">
      <c r="A19" s="831" t="s">
        <v>325</v>
      </c>
      <c r="B19" s="831"/>
      <c r="C19" s="831"/>
      <c r="D19" s="831"/>
      <c r="E19" s="831"/>
      <c r="F19" s="831"/>
      <c r="G19" s="831"/>
    </row>
    <row r="20" spans="1:7" ht="15">
      <c r="A20" s="219"/>
      <c r="B20" s="219"/>
      <c r="C20" s="219"/>
      <c r="D20" s="219"/>
      <c r="E20" s="803" t="s">
        <v>750</v>
      </c>
      <c r="F20" s="803"/>
      <c r="G20" s="55"/>
    </row>
    <row r="21" spans="1:7" ht="45.75" customHeight="1">
      <c r="A21" s="215" t="s">
        <v>415</v>
      </c>
      <c r="B21" s="215" t="s">
        <v>3</v>
      </c>
      <c r="C21" s="214" t="s">
        <v>326</v>
      </c>
      <c r="D21" s="224" t="s">
        <v>327</v>
      </c>
      <c r="E21" s="215" t="s">
        <v>328</v>
      </c>
      <c r="F21" s="215" t="s">
        <v>329</v>
      </c>
      <c r="G21" s="10"/>
    </row>
    <row r="22" spans="1:6" ht="14.25">
      <c r="A22" s="220" t="s">
        <v>330</v>
      </c>
      <c r="B22" s="390" t="s">
        <v>863</v>
      </c>
      <c r="C22" s="432">
        <v>4</v>
      </c>
      <c r="D22" s="397"/>
      <c r="E22" s="398" t="s">
        <v>693</v>
      </c>
      <c r="F22" s="396"/>
    </row>
    <row r="23" spans="1:6" ht="14.25">
      <c r="A23" s="220" t="s">
        <v>331</v>
      </c>
      <c r="B23" s="390"/>
      <c r="C23" s="432"/>
      <c r="D23" s="397"/>
      <c r="E23" s="398"/>
      <c r="F23" s="396"/>
    </row>
    <row r="24" spans="1:6" ht="14.25">
      <c r="A24" s="220" t="s">
        <v>332</v>
      </c>
      <c r="B24" s="390"/>
      <c r="C24" s="432"/>
      <c r="D24" s="397"/>
      <c r="E24" s="398"/>
      <c r="F24" s="396"/>
    </row>
    <row r="25" spans="1:6" ht="25.5">
      <c r="A25" s="220" t="s">
        <v>333</v>
      </c>
      <c r="B25" s="390"/>
      <c r="C25" s="432"/>
      <c r="D25" s="391"/>
      <c r="E25" s="392"/>
      <c r="F25" s="393"/>
    </row>
    <row r="26" spans="1:6" ht="32.25" customHeight="1">
      <c r="A26" s="220" t="s">
        <v>334</v>
      </c>
      <c r="B26" s="390"/>
      <c r="C26" s="432"/>
      <c r="D26" s="391"/>
      <c r="E26" s="392"/>
      <c r="F26" s="393"/>
    </row>
    <row r="27" spans="1:6" ht="14.25">
      <c r="A27" s="220" t="s">
        <v>335</v>
      </c>
      <c r="B27" s="390"/>
      <c r="C27" s="432"/>
      <c r="D27" s="391"/>
      <c r="E27" s="392"/>
      <c r="F27" s="393"/>
    </row>
    <row r="28" spans="1:6" ht="51">
      <c r="A28" s="220" t="s">
        <v>336</v>
      </c>
      <c r="B28" s="390" t="s">
        <v>864</v>
      </c>
      <c r="C28" s="432">
        <v>6</v>
      </c>
      <c r="D28" s="397"/>
      <c r="E28" s="398" t="s">
        <v>693</v>
      </c>
      <c r="F28" s="396" t="s">
        <v>692</v>
      </c>
    </row>
    <row r="29" spans="1:6" ht="14.25">
      <c r="A29" s="220" t="s">
        <v>337</v>
      </c>
      <c r="B29" s="390"/>
      <c r="C29" s="432"/>
      <c r="D29" s="391"/>
      <c r="E29" s="392"/>
      <c r="F29" s="393"/>
    </row>
    <row r="30" spans="1:6" ht="14.25">
      <c r="A30" s="220" t="s">
        <v>338</v>
      </c>
      <c r="B30" s="390"/>
      <c r="C30" s="432"/>
      <c r="D30" s="391"/>
      <c r="E30" s="392"/>
      <c r="F30" s="393"/>
    </row>
    <row r="31" spans="1:6" ht="14.25">
      <c r="A31" s="220" t="s">
        <v>339</v>
      </c>
      <c r="B31" s="390"/>
      <c r="C31" s="432"/>
      <c r="D31" s="391"/>
      <c r="E31" s="392"/>
      <c r="F31" s="393"/>
    </row>
    <row r="32" spans="1:6" ht="14.25">
      <c r="A32" s="220" t="s">
        <v>340</v>
      </c>
      <c r="B32" s="390"/>
      <c r="C32" s="432"/>
      <c r="D32" s="391"/>
      <c r="E32" s="392"/>
      <c r="F32" s="393"/>
    </row>
    <row r="33" spans="1:6" ht="14.25">
      <c r="A33" s="220" t="s">
        <v>341</v>
      </c>
      <c r="B33" s="390"/>
      <c r="C33" s="432"/>
      <c r="D33" s="391"/>
      <c r="E33" s="392"/>
      <c r="F33" s="393"/>
    </row>
    <row r="34" spans="1:6" ht="25.5">
      <c r="A34" s="220" t="s">
        <v>342</v>
      </c>
      <c r="B34" s="390"/>
      <c r="C34" s="432"/>
      <c r="D34" s="391"/>
      <c r="E34" s="392"/>
      <c r="F34" s="393"/>
    </row>
    <row r="35" spans="1:6" ht="14.25">
      <c r="A35" s="220" t="s">
        <v>343</v>
      </c>
      <c r="B35" s="390"/>
      <c r="C35" s="432"/>
      <c r="D35" s="391"/>
      <c r="E35" s="392"/>
      <c r="F35" s="393"/>
    </row>
    <row r="36" spans="1:6" ht="14.25">
      <c r="A36" s="220" t="s">
        <v>344</v>
      </c>
      <c r="B36" s="390"/>
      <c r="C36" s="432"/>
      <c r="D36" s="391"/>
      <c r="E36" s="392"/>
      <c r="F36" s="393"/>
    </row>
    <row r="37" spans="1:6" ht="76.5">
      <c r="A37" s="220" t="s">
        <v>345</v>
      </c>
      <c r="B37" s="390" t="s">
        <v>865</v>
      </c>
      <c r="C37" s="432">
        <v>1</v>
      </c>
      <c r="D37" s="397"/>
      <c r="E37" s="398" t="s">
        <v>693</v>
      </c>
      <c r="F37" s="393" t="s">
        <v>868</v>
      </c>
    </row>
    <row r="38" spans="1:6" ht="25.5">
      <c r="A38" s="220" t="s">
        <v>862</v>
      </c>
      <c r="B38" s="390" t="s">
        <v>866</v>
      </c>
      <c r="C38" s="432">
        <v>2</v>
      </c>
      <c r="D38" s="391"/>
      <c r="E38" s="398" t="s">
        <v>693</v>
      </c>
      <c r="F38" s="393" t="s">
        <v>869</v>
      </c>
    </row>
    <row r="39" spans="1:6" ht="12.75">
      <c r="A39" s="225" t="s">
        <v>16</v>
      </c>
      <c r="B39" s="220">
        <f>SUM(B22:B38)</f>
        <v>0</v>
      </c>
      <c r="C39" s="220">
        <f>SUM(C22:C38)</f>
        <v>13</v>
      </c>
      <c r="D39" s="220">
        <f>SUM(D22:D38)</f>
        <v>0</v>
      </c>
      <c r="E39" s="220">
        <f>SUM(E22:E38)</f>
        <v>0</v>
      </c>
      <c r="F39" s="220">
        <f>SUM(F22:F38)</f>
        <v>0</v>
      </c>
    </row>
    <row r="44" spans="3:6" ht="15.75">
      <c r="C44" s="621" t="s">
        <v>860</v>
      </c>
      <c r="D44" s="621"/>
      <c r="E44" s="621"/>
      <c r="F44" s="621"/>
    </row>
    <row r="45" spans="3:6" ht="15.75">
      <c r="C45" s="621" t="s">
        <v>653</v>
      </c>
      <c r="D45" s="621"/>
      <c r="E45" s="621"/>
      <c r="F45" s="621"/>
    </row>
  </sheetData>
  <sheetProtection/>
  <mergeCells count="7">
    <mergeCell ref="C44:F44"/>
    <mergeCell ref="C45:F45"/>
    <mergeCell ref="A1:E1"/>
    <mergeCell ref="A2:F2"/>
    <mergeCell ref="A4:G4"/>
    <mergeCell ref="A19:G19"/>
    <mergeCell ref="E20:F20"/>
  </mergeCells>
  <printOptions horizontalCentered="1"/>
  <pageMargins left="0.54" right="0.45" top="0.49" bottom="0" header="0.31496062992125984" footer="0.31496062992125984"/>
  <pageSetup fitToHeight="1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6384" width="9.140625" style="6" customWidth="1"/>
  </cols>
  <sheetData>
    <row r="2" ht="12.75">
      <c r="B2" s="5"/>
    </row>
    <row r="4" spans="2:8" ht="12.75" customHeight="1">
      <c r="B4" s="832" t="s">
        <v>747</v>
      </c>
      <c r="C4" s="832"/>
      <c r="D4" s="832"/>
      <c r="E4" s="832"/>
      <c r="F4" s="832"/>
      <c r="G4" s="832"/>
      <c r="H4" s="832"/>
    </row>
    <row r="5" spans="2:8" ht="12.75" customHeight="1">
      <c r="B5" s="832"/>
      <c r="C5" s="832"/>
      <c r="D5" s="832"/>
      <c r="E5" s="832"/>
      <c r="F5" s="832"/>
      <c r="G5" s="832"/>
      <c r="H5" s="832"/>
    </row>
    <row r="6" spans="2:8" ht="12.75" customHeight="1">
      <c r="B6" s="832"/>
      <c r="C6" s="832"/>
      <c r="D6" s="832"/>
      <c r="E6" s="832"/>
      <c r="F6" s="832"/>
      <c r="G6" s="832"/>
      <c r="H6" s="832"/>
    </row>
    <row r="7" spans="2:8" ht="12.75" customHeight="1">
      <c r="B7" s="832"/>
      <c r="C7" s="832"/>
      <c r="D7" s="832"/>
      <c r="E7" s="832"/>
      <c r="F7" s="832"/>
      <c r="G7" s="832"/>
      <c r="H7" s="832"/>
    </row>
    <row r="8" spans="2:8" ht="12.75" customHeight="1">
      <c r="B8" s="832"/>
      <c r="C8" s="832"/>
      <c r="D8" s="832"/>
      <c r="E8" s="832"/>
      <c r="F8" s="832"/>
      <c r="G8" s="832"/>
      <c r="H8" s="832"/>
    </row>
    <row r="9" spans="2:8" ht="12.75" customHeight="1">
      <c r="B9" s="832"/>
      <c r="C9" s="832"/>
      <c r="D9" s="832"/>
      <c r="E9" s="832"/>
      <c r="F9" s="832"/>
      <c r="G9" s="832"/>
      <c r="H9" s="832"/>
    </row>
    <row r="10" spans="2:8" ht="12.75" customHeight="1">
      <c r="B10" s="832"/>
      <c r="C10" s="832"/>
      <c r="D10" s="832"/>
      <c r="E10" s="832"/>
      <c r="F10" s="832"/>
      <c r="G10" s="832"/>
      <c r="H10" s="832"/>
    </row>
    <row r="11" spans="2:8" ht="12.75" customHeight="1">
      <c r="B11" s="832"/>
      <c r="C11" s="832"/>
      <c r="D11" s="832"/>
      <c r="E11" s="832"/>
      <c r="F11" s="832"/>
      <c r="G11" s="832"/>
      <c r="H11" s="832"/>
    </row>
    <row r="12" spans="2:8" ht="12.75" customHeight="1">
      <c r="B12" s="832"/>
      <c r="C12" s="832"/>
      <c r="D12" s="832"/>
      <c r="E12" s="832"/>
      <c r="F12" s="832"/>
      <c r="G12" s="832"/>
      <c r="H12" s="832"/>
    </row>
    <row r="13" spans="2:8" ht="12.75" customHeight="1">
      <c r="B13" s="832"/>
      <c r="C13" s="832"/>
      <c r="D13" s="832"/>
      <c r="E13" s="832"/>
      <c r="F13" s="832"/>
      <c r="G13" s="832"/>
      <c r="H13" s="832"/>
    </row>
  </sheetData>
  <sheetProtection/>
  <mergeCells count="1">
    <mergeCell ref="B4:H13"/>
  </mergeCells>
  <printOptions horizontalCentered="1"/>
  <pageMargins left="0.7086614173228347" right="0.7086614173228347" top="2.08" bottom="0" header="0.31496062992125984" footer="0.31496062992125984"/>
  <pageSetup fitToHeight="1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4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4.7109375" style="445" customWidth="1"/>
    <col min="2" max="2" width="16.8515625" style="445" customWidth="1"/>
    <col min="3" max="3" width="11.7109375" style="445" customWidth="1"/>
    <col min="4" max="4" width="12.00390625" style="445" customWidth="1"/>
    <col min="5" max="5" width="12.140625" style="445" customWidth="1"/>
    <col min="6" max="6" width="17.421875" style="445" customWidth="1"/>
    <col min="7" max="7" width="12.421875" style="445" customWidth="1"/>
    <col min="8" max="8" width="16.00390625" style="445" customWidth="1"/>
    <col min="9" max="9" width="12.7109375" style="445" customWidth="1"/>
    <col min="10" max="10" width="15.00390625" style="445" customWidth="1"/>
    <col min="11" max="11" width="16.00390625" style="445" customWidth="1"/>
    <col min="12" max="12" width="11.8515625" style="445" customWidth="1"/>
    <col min="13" max="16384" width="9.140625" style="445" customWidth="1"/>
  </cols>
  <sheetData>
    <row r="1" spans="3:11" ht="15" customHeight="1">
      <c r="C1" s="837"/>
      <c r="D1" s="837"/>
      <c r="E1" s="837"/>
      <c r="F1" s="837"/>
      <c r="G1" s="837"/>
      <c r="H1" s="837"/>
      <c r="I1" s="446"/>
      <c r="J1" s="838" t="s">
        <v>529</v>
      </c>
      <c r="K1" s="838"/>
    </row>
    <row r="2" spans="1:11" s="447" customFormat="1" ht="19.5" customHeight="1">
      <c r="A2" s="840" t="s">
        <v>0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11" s="447" customFormat="1" ht="19.5" customHeight="1">
      <c r="A3" s="841" t="s">
        <v>695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</row>
    <row r="4" spans="1:11" s="447" customFormat="1" ht="14.2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</row>
    <row r="5" spans="1:11" s="447" customFormat="1" ht="18" customHeight="1">
      <c r="A5" s="842" t="s">
        <v>733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</row>
    <row r="6" spans="1:11" ht="15.75">
      <c r="A6" s="839" t="s">
        <v>819</v>
      </c>
      <c r="B6" s="839"/>
      <c r="C6" s="449"/>
      <c r="D6" s="449"/>
      <c r="E6" s="449"/>
      <c r="F6" s="449"/>
      <c r="G6" s="449"/>
      <c r="H6" s="449"/>
      <c r="I6" s="449"/>
      <c r="J6" s="449"/>
      <c r="K6" s="449"/>
    </row>
    <row r="7" spans="1:20" ht="29.25" customHeight="1">
      <c r="A7" s="833" t="s">
        <v>70</v>
      </c>
      <c r="B7" s="833" t="s">
        <v>71</v>
      </c>
      <c r="C7" s="833" t="s">
        <v>72</v>
      </c>
      <c r="D7" s="833" t="s">
        <v>153</v>
      </c>
      <c r="E7" s="833"/>
      <c r="F7" s="833"/>
      <c r="G7" s="833"/>
      <c r="H7" s="833"/>
      <c r="I7" s="834" t="s">
        <v>237</v>
      </c>
      <c r="J7" s="833" t="s">
        <v>73</v>
      </c>
      <c r="K7" s="833" t="s">
        <v>474</v>
      </c>
      <c r="L7" s="845" t="s">
        <v>74</v>
      </c>
      <c r="S7" s="450"/>
      <c r="T7" s="450"/>
    </row>
    <row r="8" spans="1:12" ht="33.75" customHeight="1">
      <c r="A8" s="833"/>
      <c r="B8" s="833"/>
      <c r="C8" s="833"/>
      <c r="D8" s="833" t="s">
        <v>75</v>
      </c>
      <c r="E8" s="833" t="s">
        <v>76</v>
      </c>
      <c r="F8" s="833"/>
      <c r="G8" s="833"/>
      <c r="H8" s="451" t="s">
        <v>77</v>
      </c>
      <c r="I8" s="835"/>
      <c r="J8" s="833"/>
      <c r="K8" s="833"/>
      <c r="L8" s="845"/>
    </row>
    <row r="9" spans="1:12" ht="30">
      <c r="A9" s="833"/>
      <c r="B9" s="833"/>
      <c r="C9" s="833"/>
      <c r="D9" s="833"/>
      <c r="E9" s="451" t="s">
        <v>78</v>
      </c>
      <c r="F9" s="451" t="s">
        <v>79</v>
      </c>
      <c r="G9" s="451" t="s">
        <v>16</v>
      </c>
      <c r="H9" s="451"/>
      <c r="I9" s="836"/>
      <c r="J9" s="833"/>
      <c r="K9" s="833"/>
      <c r="L9" s="845"/>
    </row>
    <row r="10" spans="1:12" s="453" customFormat="1" ht="16.5" customHeight="1">
      <c r="A10" s="452">
        <v>1</v>
      </c>
      <c r="B10" s="452">
        <v>2</v>
      </c>
      <c r="C10" s="452">
        <v>3</v>
      </c>
      <c r="D10" s="452">
        <v>4</v>
      </c>
      <c r="E10" s="452">
        <v>5</v>
      </c>
      <c r="F10" s="452">
        <v>6</v>
      </c>
      <c r="G10" s="452">
        <v>7</v>
      </c>
      <c r="H10" s="452">
        <v>8</v>
      </c>
      <c r="I10" s="452">
        <v>9</v>
      </c>
      <c r="J10" s="452">
        <v>10</v>
      </c>
      <c r="K10" s="452">
        <v>11</v>
      </c>
      <c r="L10" s="452">
        <v>12</v>
      </c>
    </row>
    <row r="11" spans="1:12" ht="16.5" customHeight="1">
      <c r="A11" s="454">
        <v>1</v>
      </c>
      <c r="B11" s="455" t="s">
        <v>820</v>
      </c>
      <c r="C11" s="456">
        <v>30</v>
      </c>
      <c r="D11" s="457">
        <v>18</v>
      </c>
      <c r="E11" s="457">
        <v>1</v>
      </c>
      <c r="F11" s="457">
        <v>2</v>
      </c>
      <c r="G11" s="457">
        <f>SUM(E11:F11)</f>
        <v>3</v>
      </c>
      <c r="H11" s="457">
        <f>G11+D11</f>
        <v>21</v>
      </c>
      <c r="I11" s="457">
        <v>30</v>
      </c>
      <c r="J11" s="457">
        <f>C11-H11</f>
        <v>9</v>
      </c>
      <c r="K11" s="457">
        <v>22</v>
      </c>
      <c r="L11" s="457"/>
    </row>
    <row r="12" spans="1:12" ht="16.5" customHeight="1">
      <c r="A12" s="454">
        <v>2</v>
      </c>
      <c r="B12" s="455" t="s">
        <v>821</v>
      </c>
      <c r="C12" s="456">
        <v>31</v>
      </c>
      <c r="D12" s="457">
        <v>31</v>
      </c>
      <c r="E12" s="457">
        <v>0</v>
      </c>
      <c r="F12" s="457">
        <v>0</v>
      </c>
      <c r="G12" s="457">
        <f aca="true" t="shared" si="0" ref="G12:G22">SUM(E12:F12)</f>
        <v>0</v>
      </c>
      <c r="H12" s="457">
        <f aca="true" t="shared" si="1" ref="H12:H22">G12+D12</f>
        <v>31</v>
      </c>
      <c r="I12" s="457">
        <v>31</v>
      </c>
      <c r="J12" s="457">
        <f aca="true" t="shared" si="2" ref="J12:J22">C12-H12</f>
        <v>0</v>
      </c>
      <c r="K12" s="457">
        <v>27</v>
      </c>
      <c r="L12" s="457"/>
    </row>
    <row r="13" spans="1:12" ht="16.5" customHeight="1">
      <c r="A13" s="454">
        <v>3</v>
      </c>
      <c r="B13" s="455" t="s">
        <v>822</v>
      </c>
      <c r="C13" s="456">
        <v>30</v>
      </c>
      <c r="D13" s="457">
        <v>0</v>
      </c>
      <c r="E13" s="457">
        <v>5</v>
      </c>
      <c r="F13" s="457">
        <v>3</v>
      </c>
      <c r="G13" s="457">
        <f t="shared" si="0"/>
        <v>8</v>
      </c>
      <c r="H13" s="457">
        <f t="shared" si="1"/>
        <v>8</v>
      </c>
      <c r="I13" s="457">
        <v>30</v>
      </c>
      <c r="J13" s="457">
        <f t="shared" si="2"/>
        <v>22</v>
      </c>
      <c r="K13" s="457">
        <v>24</v>
      </c>
      <c r="L13" s="457"/>
    </row>
    <row r="14" spans="1:12" ht="16.5" customHeight="1">
      <c r="A14" s="454">
        <v>4</v>
      </c>
      <c r="B14" s="455" t="s">
        <v>823</v>
      </c>
      <c r="C14" s="456">
        <v>31</v>
      </c>
      <c r="D14" s="457">
        <v>0</v>
      </c>
      <c r="E14" s="457">
        <v>4</v>
      </c>
      <c r="F14" s="457">
        <v>2</v>
      </c>
      <c r="G14" s="457">
        <f t="shared" si="0"/>
        <v>6</v>
      </c>
      <c r="H14" s="457">
        <f t="shared" si="1"/>
        <v>6</v>
      </c>
      <c r="I14" s="457">
        <v>31</v>
      </c>
      <c r="J14" s="457">
        <f t="shared" si="2"/>
        <v>25</v>
      </c>
      <c r="K14" s="457">
        <v>26</v>
      </c>
      <c r="L14" s="457"/>
    </row>
    <row r="15" spans="1:12" ht="16.5" customHeight="1">
      <c r="A15" s="454">
        <v>5</v>
      </c>
      <c r="B15" s="455" t="s">
        <v>824</v>
      </c>
      <c r="C15" s="456">
        <v>31</v>
      </c>
      <c r="D15" s="457">
        <v>0</v>
      </c>
      <c r="E15" s="457">
        <v>4</v>
      </c>
      <c r="F15" s="457">
        <v>4</v>
      </c>
      <c r="G15" s="457">
        <f t="shared" si="0"/>
        <v>8</v>
      </c>
      <c r="H15" s="457">
        <f t="shared" si="1"/>
        <v>8</v>
      </c>
      <c r="I15" s="457">
        <v>31</v>
      </c>
      <c r="J15" s="457">
        <f t="shared" si="2"/>
        <v>23</v>
      </c>
      <c r="K15" s="457">
        <v>22</v>
      </c>
      <c r="L15" s="457"/>
    </row>
    <row r="16" spans="1:12" s="458" customFormat="1" ht="16.5" customHeight="1">
      <c r="A16" s="454">
        <v>6</v>
      </c>
      <c r="B16" s="455" t="s">
        <v>825</v>
      </c>
      <c r="C16" s="454">
        <v>30</v>
      </c>
      <c r="D16" s="455">
        <v>4</v>
      </c>
      <c r="E16" s="455">
        <v>4</v>
      </c>
      <c r="F16" s="455">
        <v>4</v>
      </c>
      <c r="G16" s="457">
        <f t="shared" si="0"/>
        <v>8</v>
      </c>
      <c r="H16" s="457">
        <f t="shared" si="1"/>
        <v>12</v>
      </c>
      <c r="I16" s="455">
        <v>30</v>
      </c>
      <c r="J16" s="457">
        <f t="shared" si="2"/>
        <v>18</v>
      </c>
      <c r="K16" s="455">
        <v>22</v>
      </c>
      <c r="L16" s="455"/>
    </row>
    <row r="17" spans="1:12" s="458" customFormat="1" ht="16.5" customHeight="1">
      <c r="A17" s="454">
        <v>7</v>
      </c>
      <c r="B17" s="455" t="s">
        <v>826</v>
      </c>
      <c r="C17" s="454">
        <v>31</v>
      </c>
      <c r="D17" s="455">
        <v>10</v>
      </c>
      <c r="E17" s="455">
        <v>3</v>
      </c>
      <c r="F17" s="455">
        <v>1</v>
      </c>
      <c r="G17" s="457">
        <f t="shared" si="0"/>
        <v>4</v>
      </c>
      <c r="H17" s="457">
        <v>17</v>
      </c>
      <c r="I17" s="455">
        <v>31</v>
      </c>
      <c r="J17" s="457">
        <f t="shared" si="2"/>
        <v>14</v>
      </c>
      <c r="K17" s="455">
        <v>23</v>
      </c>
      <c r="L17" s="455"/>
    </row>
    <row r="18" spans="1:12" s="458" customFormat="1" ht="16.5" customHeight="1">
      <c r="A18" s="454">
        <v>8</v>
      </c>
      <c r="B18" s="455" t="s">
        <v>827</v>
      </c>
      <c r="C18" s="454">
        <v>30</v>
      </c>
      <c r="D18" s="455">
        <v>0</v>
      </c>
      <c r="E18" s="455">
        <v>4</v>
      </c>
      <c r="F18" s="455">
        <v>2</v>
      </c>
      <c r="G18" s="457">
        <f t="shared" si="0"/>
        <v>6</v>
      </c>
      <c r="H18" s="457">
        <f t="shared" si="1"/>
        <v>6</v>
      </c>
      <c r="I18" s="455">
        <v>30</v>
      </c>
      <c r="J18" s="457">
        <f t="shared" si="2"/>
        <v>24</v>
      </c>
      <c r="K18" s="455">
        <v>24</v>
      </c>
      <c r="L18" s="455"/>
    </row>
    <row r="19" spans="1:12" s="458" customFormat="1" ht="16.5" customHeight="1">
      <c r="A19" s="454">
        <v>9</v>
      </c>
      <c r="B19" s="455" t="s">
        <v>828</v>
      </c>
      <c r="C19" s="454">
        <v>31</v>
      </c>
      <c r="D19" s="455">
        <v>0</v>
      </c>
      <c r="E19" s="455">
        <v>5</v>
      </c>
      <c r="F19" s="455">
        <v>3</v>
      </c>
      <c r="G19" s="457">
        <f t="shared" si="0"/>
        <v>8</v>
      </c>
      <c r="H19" s="457">
        <f t="shared" si="1"/>
        <v>8</v>
      </c>
      <c r="I19" s="455">
        <v>31</v>
      </c>
      <c r="J19" s="457">
        <f t="shared" si="2"/>
        <v>23</v>
      </c>
      <c r="K19" s="455">
        <v>24</v>
      </c>
      <c r="L19" s="455"/>
    </row>
    <row r="20" spans="1:12" s="458" customFormat="1" ht="16.5" customHeight="1">
      <c r="A20" s="454">
        <v>10</v>
      </c>
      <c r="B20" s="455" t="s">
        <v>829</v>
      </c>
      <c r="C20" s="454">
        <v>31</v>
      </c>
      <c r="D20" s="455">
        <v>6</v>
      </c>
      <c r="E20" s="455">
        <v>3</v>
      </c>
      <c r="F20" s="455">
        <v>0</v>
      </c>
      <c r="G20" s="457">
        <f t="shared" si="0"/>
        <v>3</v>
      </c>
      <c r="H20" s="457">
        <f t="shared" si="1"/>
        <v>9</v>
      </c>
      <c r="I20" s="455">
        <v>31</v>
      </c>
      <c r="J20" s="457">
        <f t="shared" si="2"/>
        <v>22</v>
      </c>
      <c r="K20" s="455">
        <v>23</v>
      </c>
      <c r="L20" s="455"/>
    </row>
    <row r="21" spans="1:12" s="458" customFormat="1" ht="16.5" customHeight="1">
      <c r="A21" s="454">
        <v>11</v>
      </c>
      <c r="B21" s="455" t="s">
        <v>830</v>
      </c>
      <c r="C21" s="454">
        <v>28</v>
      </c>
      <c r="D21" s="459">
        <v>0</v>
      </c>
      <c r="E21" s="459">
        <v>4</v>
      </c>
      <c r="F21" s="459">
        <v>2</v>
      </c>
      <c r="G21" s="457">
        <f t="shared" si="0"/>
        <v>6</v>
      </c>
      <c r="H21" s="457">
        <f t="shared" si="1"/>
        <v>6</v>
      </c>
      <c r="I21" s="459">
        <v>28</v>
      </c>
      <c r="J21" s="457">
        <f t="shared" si="2"/>
        <v>22</v>
      </c>
      <c r="K21" s="455">
        <v>23</v>
      </c>
      <c r="L21" s="455"/>
    </row>
    <row r="22" spans="1:12" s="458" customFormat="1" ht="16.5" customHeight="1">
      <c r="A22" s="454">
        <v>12</v>
      </c>
      <c r="B22" s="455" t="s">
        <v>831</v>
      </c>
      <c r="C22" s="454">
        <v>31</v>
      </c>
      <c r="D22" s="459">
        <v>0</v>
      </c>
      <c r="E22" s="459">
        <v>5</v>
      </c>
      <c r="F22" s="459">
        <v>3</v>
      </c>
      <c r="G22" s="457">
        <f t="shared" si="0"/>
        <v>8</v>
      </c>
      <c r="H22" s="457">
        <f t="shared" si="1"/>
        <v>8</v>
      </c>
      <c r="I22" s="459">
        <v>31</v>
      </c>
      <c r="J22" s="457">
        <f t="shared" si="2"/>
        <v>23</v>
      </c>
      <c r="K22" s="455">
        <v>25</v>
      </c>
      <c r="L22" s="455"/>
    </row>
    <row r="23" spans="1:12" s="458" customFormat="1" ht="16.5" customHeight="1">
      <c r="A23" s="455"/>
      <c r="B23" s="460" t="s">
        <v>16</v>
      </c>
      <c r="C23" s="451">
        <f>SUM(C11:C22)</f>
        <v>365</v>
      </c>
      <c r="D23" s="461">
        <f aca="true" t="shared" si="3" ref="D23:K23">SUM(D11:D22)</f>
        <v>69</v>
      </c>
      <c r="E23" s="461">
        <f t="shared" si="3"/>
        <v>42</v>
      </c>
      <c r="F23" s="461">
        <f t="shared" si="3"/>
        <v>26</v>
      </c>
      <c r="G23" s="461">
        <f t="shared" si="3"/>
        <v>68</v>
      </c>
      <c r="H23" s="461">
        <f t="shared" si="3"/>
        <v>140</v>
      </c>
      <c r="I23" s="461">
        <f t="shared" si="3"/>
        <v>365</v>
      </c>
      <c r="J23" s="461">
        <f t="shared" si="3"/>
        <v>225</v>
      </c>
      <c r="K23" s="461">
        <f t="shared" si="3"/>
        <v>285</v>
      </c>
      <c r="L23" s="455"/>
    </row>
    <row r="24" spans="1:11" s="458" customFormat="1" ht="11.25" customHeight="1">
      <c r="A24" s="462"/>
      <c r="B24" s="463"/>
      <c r="C24" s="464"/>
      <c r="D24" s="462"/>
      <c r="E24" s="462"/>
      <c r="F24" s="462"/>
      <c r="G24" s="462"/>
      <c r="H24" s="462"/>
      <c r="I24" s="462"/>
      <c r="J24" s="462"/>
      <c r="K24" s="462"/>
    </row>
    <row r="25" spans="1:10" ht="15">
      <c r="A25" s="465" t="s">
        <v>101</v>
      </c>
      <c r="B25" s="465"/>
      <c r="C25" s="465"/>
      <c r="D25" s="465"/>
      <c r="E25" s="465"/>
      <c r="F25" s="465"/>
      <c r="G25" s="465"/>
      <c r="H25" s="465"/>
      <c r="I25" s="465"/>
      <c r="J25" s="465"/>
    </row>
    <row r="26" spans="1:10" ht="15">
      <c r="A26" s="465"/>
      <c r="B26" s="465"/>
      <c r="C26" s="465"/>
      <c r="D26" s="465"/>
      <c r="E26" s="465"/>
      <c r="F26" s="465"/>
      <c r="G26" s="465"/>
      <c r="H26" s="465"/>
      <c r="I26" s="465"/>
      <c r="J26" s="465"/>
    </row>
    <row r="27" spans="1:11" ht="15">
      <c r="A27" s="465" t="s">
        <v>12</v>
      </c>
      <c r="B27" s="465"/>
      <c r="C27" s="465"/>
      <c r="D27" s="465"/>
      <c r="E27" s="465"/>
      <c r="F27" s="465"/>
      <c r="G27" s="465"/>
      <c r="H27" s="465"/>
      <c r="I27" s="465"/>
      <c r="J27" s="843"/>
      <c r="K27" s="843"/>
    </row>
    <row r="28" spans="1:11" ht="15">
      <c r="A28" s="465"/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30" spans="9:12" ht="15.75">
      <c r="I30" s="622"/>
      <c r="J30" s="622"/>
      <c r="K30" s="622"/>
      <c r="L30" s="622"/>
    </row>
    <row r="31" spans="9:12" ht="14.25" customHeight="1">
      <c r="I31" s="844" t="s">
        <v>861</v>
      </c>
      <c r="J31" s="844"/>
      <c r="K31" s="844"/>
      <c r="L31" s="844"/>
    </row>
    <row r="32" spans="9:12" ht="14.25" customHeight="1">
      <c r="I32" s="844" t="s">
        <v>804</v>
      </c>
      <c r="J32" s="844"/>
      <c r="K32" s="844"/>
      <c r="L32" s="844"/>
    </row>
    <row r="33" spans="9:12" ht="14.25" customHeight="1">
      <c r="I33" s="470"/>
      <c r="J33" s="470"/>
      <c r="K33" s="470"/>
      <c r="L33" s="470"/>
    </row>
    <row r="34" spans="9:12" ht="14.25" customHeight="1">
      <c r="I34" s="470"/>
      <c r="J34" s="470"/>
      <c r="K34" s="470"/>
      <c r="L34" s="470"/>
    </row>
  </sheetData>
  <sheetProtection/>
  <mergeCells count="20">
    <mergeCell ref="J27:K27"/>
    <mergeCell ref="I31:L31"/>
    <mergeCell ref="I32:L32"/>
    <mergeCell ref="I30:L30"/>
    <mergeCell ref="L7:L9"/>
    <mergeCell ref="K7:K9"/>
    <mergeCell ref="C1:H1"/>
    <mergeCell ref="J1:K1"/>
    <mergeCell ref="A6:B6"/>
    <mergeCell ref="A2:K2"/>
    <mergeCell ref="A3:K3"/>
    <mergeCell ref="A5:K5"/>
    <mergeCell ref="A7:A9"/>
    <mergeCell ref="B7:B9"/>
    <mergeCell ref="C7:C9"/>
    <mergeCell ref="D7:H7"/>
    <mergeCell ref="J7:J9"/>
    <mergeCell ref="D8:D9"/>
    <mergeCell ref="E8:G8"/>
    <mergeCell ref="I7:I9"/>
  </mergeCells>
  <printOptions horizontalCentered="1"/>
  <pageMargins left="0.44" right="0.44" top="0.5" bottom="0" header="0.31496062992125984" footer="0.31496062992125984"/>
  <pageSetup fitToHeight="1" fitToWidth="1" horizontalDpi="600" verticalDpi="600" orientation="landscape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4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4.7109375" style="445" customWidth="1"/>
    <col min="2" max="2" width="14.7109375" style="445" customWidth="1"/>
    <col min="3" max="3" width="11.7109375" style="445" customWidth="1"/>
    <col min="4" max="4" width="12.00390625" style="445" customWidth="1"/>
    <col min="5" max="5" width="11.8515625" style="445" customWidth="1"/>
    <col min="6" max="6" width="18.8515625" style="445" customWidth="1"/>
    <col min="7" max="7" width="10.140625" style="445" customWidth="1"/>
    <col min="8" max="8" width="14.7109375" style="445" customWidth="1"/>
    <col min="9" max="9" width="15.28125" style="445" customWidth="1"/>
    <col min="10" max="10" width="14.7109375" style="445" customWidth="1"/>
    <col min="11" max="11" width="11.8515625" style="445" customWidth="1"/>
    <col min="12" max="16384" width="9.140625" style="445" customWidth="1"/>
  </cols>
  <sheetData>
    <row r="1" spans="3:10" ht="15" customHeight="1">
      <c r="C1" s="837"/>
      <c r="D1" s="837"/>
      <c r="E1" s="837"/>
      <c r="F1" s="837"/>
      <c r="G1" s="837"/>
      <c r="H1" s="837"/>
      <c r="I1" s="446"/>
      <c r="J1" s="466" t="s">
        <v>530</v>
      </c>
    </row>
    <row r="2" spans="1:10" s="447" customFormat="1" ht="19.5" customHeight="1">
      <c r="A2" s="840" t="s">
        <v>0</v>
      </c>
      <c r="B2" s="840"/>
      <c r="C2" s="840"/>
      <c r="D2" s="840"/>
      <c r="E2" s="840"/>
      <c r="F2" s="840"/>
      <c r="G2" s="840"/>
      <c r="H2" s="840"/>
      <c r="I2" s="840"/>
      <c r="J2" s="840"/>
    </row>
    <row r="3" spans="1:10" s="447" customFormat="1" ht="19.5" customHeight="1">
      <c r="A3" s="841" t="s">
        <v>695</v>
      </c>
      <c r="B3" s="841"/>
      <c r="C3" s="841"/>
      <c r="D3" s="841"/>
      <c r="E3" s="841"/>
      <c r="F3" s="841"/>
      <c r="G3" s="841"/>
      <c r="H3" s="841"/>
      <c r="I3" s="841"/>
      <c r="J3" s="841"/>
    </row>
    <row r="4" spans="1:10" s="447" customFormat="1" ht="14.2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</row>
    <row r="5" spans="1:10" s="447" customFormat="1" ht="18" customHeight="1">
      <c r="A5" s="842" t="s">
        <v>734</v>
      </c>
      <c r="B5" s="842"/>
      <c r="C5" s="842"/>
      <c r="D5" s="842"/>
      <c r="E5" s="842"/>
      <c r="F5" s="842"/>
      <c r="G5" s="842"/>
      <c r="H5" s="842"/>
      <c r="I5" s="842"/>
      <c r="J5" s="842"/>
    </row>
    <row r="6" spans="1:10" ht="15.75">
      <c r="A6" s="839" t="s">
        <v>819</v>
      </c>
      <c r="B6" s="839"/>
      <c r="C6" s="467"/>
      <c r="D6" s="467"/>
      <c r="E6" s="467"/>
      <c r="F6" s="467"/>
      <c r="G6" s="467"/>
      <c r="H6" s="467"/>
      <c r="I6" s="468"/>
      <c r="J6" s="468"/>
    </row>
    <row r="7" spans="1:11" ht="29.25" customHeight="1">
      <c r="A7" s="833" t="s">
        <v>70</v>
      </c>
      <c r="B7" s="833" t="s">
        <v>71</v>
      </c>
      <c r="C7" s="833" t="s">
        <v>72</v>
      </c>
      <c r="D7" s="833" t="s">
        <v>154</v>
      </c>
      <c r="E7" s="833"/>
      <c r="F7" s="833"/>
      <c r="G7" s="833"/>
      <c r="H7" s="833"/>
      <c r="I7" s="834" t="s">
        <v>237</v>
      </c>
      <c r="J7" s="833" t="s">
        <v>73</v>
      </c>
      <c r="K7" s="833" t="s">
        <v>224</v>
      </c>
    </row>
    <row r="8" spans="1:18" ht="33.75" customHeight="1">
      <c r="A8" s="833"/>
      <c r="B8" s="833"/>
      <c r="C8" s="833"/>
      <c r="D8" s="833" t="s">
        <v>75</v>
      </c>
      <c r="E8" s="833" t="s">
        <v>76</v>
      </c>
      <c r="F8" s="833"/>
      <c r="G8" s="833"/>
      <c r="H8" s="834" t="s">
        <v>77</v>
      </c>
      <c r="I8" s="835"/>
      <c r="J8" s="833"/>
      <c r="K8" s="833"/>
      <c r="Q8" s="450"/>
      <c r="R8" s="450"/>
    </row>
    <row r="9" spans="1:11" ht="33.75" customHeight="1">
      <c r="A9" s="833"/>
      <c r="B9" s="833"/>
      <c r="C9" s="833"/>
      <c r="D9" s="833"/>
      <c r="E9" s="451" t="s">
        <v>78</v>
      </c>
      <c r="F9" s="451" t="s">
        <v>79</v>
      </c>
      <c r="G9" s="451" t="s">
        <v>16</v>
      </c>
      <c r="H9" s="836"/>
      <c r="I9" s="836"/>
      <c r="J9" s="833"/>
      <c r="K9" s="833"/>
    </row>
    <row r="10" spans="1:11" s="458" customFormat="1" ht="16.5" customHeight="1">
      <c r="A10" s="451">
        <v>1</v>
      </c>
      <c r="B10" s="451">
        <v>2</v>
      </c>
      <c r="C10" s="451">
        <v>3</v>
      </c>
      <c r="D10" s="451">
        <v>4</v>
      </c>
      <c r="E10" s="451">
        <v>5</v>
      </c>
      <c r="F10" s="451">
        <v>6</v>
      </c>
      <c r="G10" s="451">
        <v>7</v>
      </c>
      <c r="H10" s="451">
        <v>8</v>
      </c>
      <c r="I10" s="451">
        <v>9</v>
      </c>
      <c r="J10" s="451">
        <v>10</v>
      </c>
      <c r="K10" s="451">
        <v>11</v>
      </c>
    </row>
    <row r="11" spans="1:11" ht="16.5" customHeight="1">
      <c r="A11" s="454">
        <v>1</v>
      </c>
      <c r="B11" s="455" t="s">
        <v>820</v>
      </c>
      <c r="C11" s="456">
        <v>30</v>
      </c>
      <c r="D11" s="457">
        <v>18</v>
      </c>
      <c r="E11" s="457">
        <v>1</v>
      </c>
      <c r="F11" s="457">
        <v>2</v>
      </c>
      <c r="G11" s="457">
        <f>SUM(E11:F11)</f>
        <v>3</v>
      </c>
      <c r="H11" s="457">
        <f>G11+D11</f>
        <v>21</v>
      </c>
      <c r="I11" s="457">
        <v>30</v>
      </c>
      <c r="J11" s="469">
        <f>C11-H11</f>
        <v>9</v>
      </c>
      <c r="K11" s="457"/>
    </row>
    <row r="12" spans="1:11" ht="16.5" customHeight="1">
      <c r="A12" s="454">
        <v>2</v>
      </c>
      <c r="B12" s="455" t="s">
        <v>821</v>
      </c>
      <c r="C12" s="456">
        <v>31</v>
      </c>
      <c r="D12" s="457">
        <v>31</v>
      </c>
      <c r="E12" s="457">
        <v>0</v>
      </c>
      <c r="F12" s="457">
        <v>0</v>
      </c>
      <c r="G12" s="457">
        <f aca="true" t="shared" si="0" ref="G12:G22">SUM(E12:F12)</f>
        <v>0</v>
      </c>
      <c r="H12" s="457">
        <f aca="true" t="shared" si="1" ref="H12:H22">G12+D12</f>
        <v>31</v>
      </c>
      <c r="I12" s="457">
        <v>31</v>
      </c>
      <c r="J12" s="469">
        <f aca="true" t="shared" si="2" ref="J12:J22">C12-H12</f>
        <v>0</v>
      </c>
      <c r="K12" s="457"/>
    </row>
    <row r="13" spans="1:11" ht="16.5" customHeight="1">
      <c r="A13" s="454">
        <v>3</v>
      </c>
      <c r="B13" s="455" t="s">
        <v>822</v>
      </c>
      <c r="C13" s="456">
        <v>30</v>
      </c>
      <c r="D13" s="457">
        <v>0</v>
      </c>
      <c r="E13" s="457">
        <v>5</v>
      </c>
      <c r="F13" s="457">
        <v>3</v>
      </c>
      <c r="G13" s="457">
        <f t="shared" si="0"/>
        <v>8</v>
      </c>
      <c r="H13" s="457">
        <f t="shared" si="1"/>
        <v>8</v>
      </c>
      <c r="I13" s="457">
        <v>30</v>
      </c>
      <c r="J13" s="469">
        <f t="shared" si="2"/>
        <v>22</v>
      </c>
      <c r="K13" s="457"/>
    </row>
    <row r="14" spans="1:11" ht="16.5" customHeight="1">
      <c r="A14" s="454">
        <v>4</v>
      </c>
      <c r="B14" s="455" t="s">
        <v>823</v>
      </c>
      <c r="C14" s="456">
        <v>31</v>
      </c>
      <c r="D14" s="457">
        <v>0</v>
      </c>
      <c r="E14" s="457">
        <v>4</v>
      </c>
      <c r="F14" s="457">
        <v>2</v>
      </c>
      <c r="G14" s="457">
        <f t="shared" si="0"/>
        <v>6</v>
      </c>
      <c r="H14" s="457">
        <f t="shared" si="1"/>
        <v>6</v>
      </c>
      <c r="I14" s="457">
        <v>31</v>
      </c>
      <c r="J14" s="469">
        <f t="shared" si="2"/>
        <v>25</v>
      </c>
      <c r="K14" s="457"/>
    </row>
    <row r="15" spans="1:11" ht="16.5" customHeight="1">
      <c r="A15" s="454">
        <v>5</v>
      </c>
      <c r="B15" s="455" t="s">
        <v>824</v>
      </c>
      <c r="C15" s="456">
        <v>31</v>
      </c>
      <c r="D15" s="457">
        <v>0</v>
      </c>
      <c r="E15" s="457">
        <v>4</v>
      </c>
      <c r="F15" s="457">
        <v>4</v>
      </c>
      <c r="G15" s="457">
        <f t="shared" si="0"/>
        <v>8</v>
      </c>
      <c r="H15" s="457">
        <f t="shared" si="1"/>
        <v>8</v>
      </c>
      <c r="I15" s="457">
        <v>31</v>
      </c>
      <c r="J15" s="469">
        <f t="shared" si="2"/>
        <v>23</v>
      </c>
      <c r="K15" s="457"/>
    </row>
    <row r="16" spans="1:11" s="458" customFormat="1" ht="16.5" customHeight="1">
      <c r="A16" s="454">
        <v>6</v>
      </c>
      <c r="B16" s="455" t="s">
        <v>825</v>
      </c>
      <c r="C16" s="454">
        <v>30</v>
      </c>
      <c r="D16" s="455">
        <v>4</v>
      </c>
      <c r="E16" s="455">
        <v>4</v>
      </c>
      <c r="F16" s="455">
        <v>4</v>
      </c>
      <c r="G16" s="457">
        <f t="shared" si="0"/>
        <v>8</v>
      </c>
      <c r="H16" s="457">
        <f t="shared" si="1"/>
        <v>12</v>
      </c>
      <c r="I16" s="455">
        <v>30</v>
      </c>
      <c r="J16" s="469">
        <f t="shared" si="2"/>
        <v>18</v>
      </c>
      <c r="K16" s="455"/>
    </row>
    <row r="17" spans="1:11" s="458" customFormat="1" ht="16.5" customHeight="1">
      <c r="A17" s="454">
        <v>7</v>
      </c>
      <c r="B17" s="455" t="s">
        <v>826</v>
      </c>
      <c r="C17" s="454">
        <v>31</v>
      </c>
      <c r="D17" s="455">
        <v>10</v>
      </c>
      <c r="E17" s="455">
        <v>3</v>
      </c>
      <c r="F17" s="455">
        <v>1</v>
      </c>
      <c r="G17" s="457">
        <f t="shared" si="0"/>
        <v>4</v>
      </c>
      <c r="H17" s="457">
        <v>17</v>
      </c>
      <c r="I17" s="455">
        <v>31</v>
      </c>
      <c r="J17" s="469">
        <f t="shared" si="2"/>
        <v>14</v>
      </c>
      <c r="K17" s="455"/>
    </row>
    <row r="18" spans="1:11" s="458" customFormat="1" ht="16.5" customHeight="1">
      <c r="A18" s="454">
        <v>8</v>
      </c>
      <c r="B18" s="455" t="s">
        <v>827</v>
      </c>
      <c r="C18" s="454">
        <v>30</v>
      </c>
      <c r="D18" s="455">
        <v>0</v>
      </c>
      <c r="E18" s="455">
        <v>4</v>
      </c>
      <c r="F18" s="455">
        <v>2</v>
      </c>
      <c r="G18" s="457">
        <f t="shared" si="0"/>
        <v>6</v>
      </c>
      <c r="H18" s="457">
        <f t="shared" si="1"/>
        <v>6</v>
      </c>
      <c r="I18" s="455">
        <v>30</v>
      </c>
      <c r="J18" s="469">
        <f t="shared" si="2"/>
        <v>24</v>
      </c>
      <c r="K18" s="455"/>
    </row>
    <row r="19" spans="1:11" s="458" customFormat="1" ht="16.5" customHeight="1">
      <c r="A19" s="454">
        <v>9</v>
      </c>
      <c r="B19" s="455" t="s">
        <v>828</v>
      </c>
      <c r="C19" s="454">
        <v>31</v>
      </c>
      <c r="D19" s="455">
        <v>0</v>
      </c>
      <c r="E19" s="455">
        <v>5</v>
      </c>
      <c r="F19" s="455">
        <v>3</v>
      </c>
      <c r="G19" s="457">
        <f t="shared" si="0"/>
        <v>8</v>
      </c>
      <c r="H19" s="457">
        <f t="shared" si="1"/>
        <v>8</v>
      </c>
      <c r="I19" s="455">
        <v>31</v>
      </c>
      <c r="J19" s="469">
        <f t="shared" si="2"/>
        <v>23</v>
      </c>
      <c r="K19" s="455"/>
    </row>
    <row r="20" spans="1:11" s="458" customFormat="1" ht="16.5" customHeight="1">
      <c r="A20" s="454">
        <v>10</v>
      </c>
      <c r="B20" s="455" t="s">
        <v>829</v>
      </c>
      <c r="C20" s="454">
        <v>31</v>
      </c>
      <c r="D20" s="455">
        <v>6</v>
      </c>
      <c r="E20" s="455">
        <v>3</v>
      </c>
      <c r="F20" s="455">
        <v>0</v>
      </c>
      <c r="G20" s="457">
        <f t="shared" si="0"/>
        <v>3</v>
      </c>
      <c r="H20" s="457">
        <f t="shared" si="1"/>
        <v>9</v>
      </c>
      <c r="I20" s="455">
        <v>31</v>
      </c>
      <c r="J20" s="469">
        <f t="shared" si="2"/>
        <v>22</v>
      </c>
      <c r="K20" s="455"/>
    </row>
    <row r="21" spans="1:11" s="458" customFormat="1" ht="16.5" customHeight="1">
      <c r="A21" s="454">
        <v>11</v>
      </c>
      <c r="B21" s="455" t="s">
        <v>830</v>
      </c>
      <c r="C21" s="454">
        <v>28</v>
      </c>
      <c r="D21" s="459">
        <v>0</v>
      </c>
      <c r="E21" s="459">
        <v>4</v>
      </c>
      <c r="F21" s="459">
        <v>2</v>
      </c>
      <c r="G21" s="457">
        <f t="shared" si="0"/>
        <v>6</v>
      </c>
      <c r="H21" s="457">
        <f t="shared" si="1"/>
        <v>6</v>
      </c>
      <c r="I21" s="455">
        <v>28</v>
      </c>
      <c r="J21" s="469">
        <f t="shared" si="2"/>
        <v>22</v>
      </c>
      <c r="K21" s="455"/>
    </row>
    <row r="22" spans="1:11" s="458" customFormat="1" ht="16.5" customHeight="1">
      <c r="A22" s="454">
        <v>12</v>
      </c>
      <c r="B22" s="455" t="s">
        <v>831</v>
      </c>
      <c r="C22" s="454">
        <v>31</v>
      </c>
      <c r="D22" s="459">
        <v>0</v>
      </c>
      <c r="E22" s="459">
        <v>5</v>
      </c>
      <c r="F22" s="459">
        <v>3</v>
      </c>
      <c r="G22" s="457">
        <f t="shared" si="0"/>
        <v>8</v>
      </c>
      <c r="H22" s="457">
        <f t="shared" si="1"/>
        <v>8</v>
      </c>
      <c r="I22" s="455">
        <v>31</v>
      </c>
      <c r="J22" s="469">
        <f t="shared" si="2"/>
        <v>23</v>
      </c>
      <c r="K22" s="455"/>
    </row>
    <row r="23" spans="1:11" s="458" customFormat="1" ht="16.5" customHeight="1">
      <c r="A23" s="455"/>
      <c r="B23" s="460" t="s">
        <v>16</v>
      </c>
      <c r="C23" s="451">
        <v>365</v>
      </c>
      <c r="D23" s="459">
        <f aca="true" t="shared" si="3" ref="D23:J23">SUM(D11:D22)</f>
        <v>69</v>
      </c>
      <c r="E23" s="459">
        <f t="shared" si="3"/>
        <v>42</v>
      </c>
      <c r="F23" s="459">
        <f t="shared" si="3"/>
        <v>26</v>
      </c>
      <c r="G23" s="459">
        <f t="shared" si="3"/>
        <v>68</v>
      </c>
      <c r="H23" s="459">
        <f t="shared" si="3"/>
        <v>140</v>
      </c>
      <c r="I23" s="459">
        <f t="shared" si="3"/>
        <v>365</v>
      </c>
      <c r="J23" s="459">
        <f t="shared" si="3"/>
        <v>225</v>
      </c>
      <c r="K23" s="459"/>
    </row>
    <row r="24" spans="1:11" s="458" customFormat="1" ht="11.25" customHeight="1">
      <c r="A24" s="462"/>
      <c r="B24" s="463"/>
      <c r="C24" s="464"/>
      <c r="D24" s="462"/>
      <c r="E24" s="462"/>
      <c r="F24" s="462"/>
      <c r="G24" s="462"/>
      <c r="H24" s="462"/>
      <c r="I24" s="462"/>
      <c r="J24" s="462"/>
      <c r="K24" s="462"/>
    </row>
    <row r="25" spans="1:10" ht="15">
      <c r="A25" s="465" t="s">
        <v>101</v>
      </c>
      <c r="B25" s="465"/>
      <c r="C25" s="465"/>
      <c r="D25" s="465"/>
      <c r="E25" s="465"/>
      <c r="F25" s="465"/>
      <c r="G25" s="465"/>
      <c r="H25" s="465"/>
      <c r="I25" s="465"/>
      <c r="J25" s="465"/>
    </row>
    <row r="26" spans="1:10" ht="15">
      <c r="A26" s="465"/>
      <c r="B26" s="465"/>
      <c r="C26" s="465"/>
      <c r="D26" s="465"/>
      <c r="E26" s="465"/>
      <c r="F26" s="465"/>
      <c r="G26" s="465"/>
      <c r="H26" s="465"/>
      <c r="I26" s="465"/>
      <c r="J26" s="465"/>
    </row>
    <row r="27" spans="1:11" ht="15">
      <c r="A27" s="465" t="s">
        <v>12</v>
      </c>
      <c r="B27" s="465"/>
      <c r="C27" s="465"/>
      <c r="D27" s="465"/>
      <c r="E27" s="465"/>
      <c r="F27" s="465"/>
      <c r="G27" s="465"/>
      <c r="H27" s="465"/>
      <c r="I27" s="465"/>
      <c r="J27" s="843"/>
      <c r="K27" s="843"/>
    </row>
    <row r="28" spans="1:11" ht="15">
      <c r="A28" s="465"/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31" spans="8:11" ht="14.25" customHeight="1">
      <c r="H31" s="844" t="s">
        <v>860</v>
      </c>
      <c r="I31" s="844"/>
      <c r="J31" s="844"/>
      <c r="K31" s="844"/>
    </row>
    <row r="32" spans="8:11" ht="14.25" customHeight="1">
      <c r="H32" s="837" t="s">
        <v>804</v>
      </c>
      <c r="I32" s="837"/>
      <c r="J32" s="837"/>
      <c r="K32" s="837"/>
    </row>
    <row r="33" spans="9:11" ht="14.25" customHeight="1">
      <c r="I33" s="470"/>
      <c r="J33" s="470"/>
      <c r="K33" s="470"/>
    </row>
    <row r="34" spans="9:11" ht="14.25" customHeight="1">
      <c r="I34" s="470"/>
      <c r="J34" s="470"/>
      <c r="K34" s="470"/>
    </row>
  </sheetData>
  <sheetProtection/>
  <mergeCells count="18">
    <mergeCell ref="H31:K31"/>
    <mergeCell ref="H32:K32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C1:H1"/>
    <mergeCell ref="A2:J2"/>
    <mergeCell ref="A3:J3"/>
    <mergeCell ref="A5:J5"/>
    <mergeCell ref="A6:B6"/>
    <mergeCell ref="J27:K27"/>
    <mergeCell ref="H8:H9"/>
  </mergeCells>
  <printOptions horizontalCentered="1"/>
  <pageMargins left="0.44" right="0.4" top="0.51" bottom="0" header="0.31496062992125984" footer="0.31496062992125984"/>
  <pageSetup fitToHeight="1" fitToWidth="1"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2"/>
  <sheetViews>
    <sheetView view="pageBreakPreview" zoomScaleNormal="70" zoomScaleSheetLayoutView="100" zoomScalePageLayoutView="0" workbookViewId="0" topLeftCell="C36">
      <selection activeCell="S41" sqref="S41"/>
    </sheetView>
  </sheetViews>
  <sheetFormatPr defaultColWidth="9.140625" defaultRowHeight="12.75"/>
  <cols>
    <col min="1" max="1" width="5.57421875" style="278" customWidth="1"/>
    <col min="2" max="2" width="17.421875" style="278" customWidth="1"/>
    <col min="3" max="3" width="10.28125" style="278" customWidth="1"/>
    <col min="4" max="4" width="8.421875" style="278" customWidth="1"/>
    <col min="5" max="6" width="9.8515625" style="278" customWidth="1"/>
    <col min="7" max="7" width="10.8515625" style="278" customWidth="1"/>
    <col min="8" max="8" width="12.8515625" style="278" customWidth="1"/>
    <col min="9" max="9" width="11.00390625" style="278" customWidth="1"/>
    <col min="10" max="10" width="10.28125" style="278" customWidth="1"/>
    <col min="11" max="11" width="8.00390625" style="278" customWidth="1"/>
    <col min="12" max="14" width="8.140625" style="278" customWidth="1"/>
    <col min="15" max="15" width="8.421875" style="278" customWidth="1"/>
    <col min="16" max="16" width="8.140625" style="278" customWidth="1"/>
    <col min="17" max="17" width="8.8515625" style="278" customWidth="1"/>
    <col min="18" max="18" width="8.140625" style="278" customWidth="1"/>
    <col min="19" max="19" width="9.28125" style="278" bestFit="1" customWidth="1"/>
    <col min="20" max="20" width="9.421875" style="278" bestFit="1" customWidth="1"/>
    <col min="21" max="16384" width="9.140625" style="278" customWidth="1"/>
  </cols>
  <sheetData>
    <row r="1" spans="1:20" ht="12.75" customHeight="1">
      <c r="A1" s="128"/>
      <c r="B1" s="128"/>
      <c r="C1" s="128"/>
      <c r="D1" s="128"/>
      <c r="E1" s="128"/>
      <c r="F1" s="128"/>
      <c r="G1" s="847"/>
      <c r="H1" s="847"/>
      <c r="I1" s="847"/>
      <c r="J1" s="128"/>
      <c r="K1" s="128"/>
      <c r="L1" s="128"/>
      <c r="M1" s="128"/>
      <c r="N1" s="128"/>
      <c r="O1" s="128"/>
      <c r="P1" s="128"/>
      <c r="S1" s="849" t="s">
        <v>531</v>
      </c>
      <c r="T1" s="849"/>
    </row>
    <row r="2" spans="1:20" ht="15.7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</row>
    <row r="3" spans="1:20" ht="18">
      <c r="A3" s="860" t="s">
        <v>695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</row>
    <row r="4" spans="1:20" ht="12.75" customHeight="1">
      <c r="A4" s="861" t="s">
        <v>735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</row>
    <row r="5" spans="1:20" s="343" customFormat="1" ht="7.5" customHeight="1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</row>
    <row r="6" spans="1:18" ht="12.7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</row>
    <row r="7" spans="1:18" ht="12.75">
      <c r="A7" s="855" t="s">
        <v>672</v>
      </c>
      <c r="B7" s="855"/>
      <c r="C7" s="128"/>
      <c r="D7" s="128"/>
      <c r="E7" s="128"/>
      <c r="F7" s="128"/>
      <c r="G7" s="128"/>
      <c r="H7" s="182"/>
      <c r="I7" s="128"/>
      <c r="J7" s="128"/>
      <c r="K7" s="128"/>
      <c r="L7" s="851"/>
      <c r="M7" s="851"/>
      <c r="N7" s="851"/>
      <c r="O7" s="851"/>
      <c r="P7" s="851"/>
      <c r="Q7" s="851"/>
      <c r="R7" s="851"/>
    </row>
    <row r="8" spans="1:20" ht="24.75" customHeight="1">
      <c r="A8" s="769" t="s">
        <v>2</v>
      </c>
      <c r="B8" s="769" t="s">
        <v>3</v>
      </c>
      <c r="C8" s="852" t="s">
        <v>484</v>
      </c>
      <c r="D8" s="853"/>
      <c r="E8" s="853"/>
      <c r="F8" s="853"/>
      <c r="G8" s="854"/>
      <c r="H8" s="856" t="s">
        <v>80</v>
      </c>
      <c r="I8" s="852" t="s">
        <v>81</v>
      </c>
      <c r="J8" s="853"/>
      <c r="K8" s="853"/>
      <c r="L8" s="854"/>
      <c r="M8" s="769" t="s">
        <v>569</v>
      </c>
      <c r="N8" s="769"/>
      <c r="O8" s="769"/>
      <c r="P8" s="769"/>
      <c r="Q8" s="769"/>
      <c r="R8" s="769"/>
      <c r="S8" s="858" t="s">
        <v>832</v>
      </c>
      <c r="T8" s="858"/>
    </row>
    <row r="9" spans="1:20" ht="44.25" customHeight="1">
      <c r="A9" s="769"/>
      <c r="B9" s="769"/>
      <c r="C9" s="178" t="s">
        <v>5</v>
      </c>
      <c r="D9" s="178" t="s">
        <v>6</v>
      </c>
      <c r="E9" s="178" t="s">
        <v>348</v>
      </c>
      <c r="F9" s="183" t="s">
        <v>95</v>
      </c>
      <c r="G9" s="183" t="s">
        <v>225</v>
      </c>
      <c r="H9" s="857"/>
      <c r="I9" s="178" t="s">
        <v>177</v>
      </c>
      <c r="J9" s="178" t="s">
        <v>110</v>
      </c>
      <c r="K9" s="178" t="s">
        <v>111</v>
      </c>
      <c r="L9" s="178" t="s">
        <v>432</v>
      </c>
      <c r="M9" s="178" t="s">
        <v>16</v>
      </c>
      <c r="N9" s="270" t="s">
        <v>660</v>
      </c>
      <c r="O9" s="270" t="s">
        <v>661</v>
      </c>
      <c r="P9" s="178" t="s">
        <v>572</v>
      </c>
      <c r="Q9" s="178" t="s">
        <v>573</v>
      </c>
      <c r="R9" s="178" t="s">
        <v>574</v>
      </c>
      <c r="S9" s="426" t="s">
        <v>833</v>
      </c>
      <c r="T9" s="426" t="s">
        <v>834</v>
      </c>
    </row>
    <row r="10" spans="1:20" s="344" customFormat="1" ht="12.75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  <c r="L10" s="178">
        <v>12</v>
      </c>
      <c r="M10" s="178">
        <v>13</v>
      </c>
      <c r="N10" s="178">
        <v>14</v>
      </c>
      <c r="O10" s="178">
        <v>15</v>
      </c>
      <c r="P10" s="178">
        <v>16</v>
      </c>
      <c r="Q10" s="178">
        <v>17</v>
      </c>
      <c r="R10" s="178">
        <v>18</v>
      </c>
      <c r="S10" s="471">
        <v>19</v>
      </c>
      <c r="T10" s="471">
        <v>20</v>
      </c>
    </row>
    <row r="11" spans="1:20" s="344" customFormat="1" ht="12.75">
      <c r="A11" s="201">
        <v>1</v>
      </c>
      <c r="B11" s="201" t="s">
        <v>633</v>
      </c>
      <c r="C11" s="317">
        <v>35623</v>
      </c>
      <c r="D11" s="317">
        <v>282</v>
      </c>
      <c r="E11" s="317">
        <v>0</v>
      </c>
      <c r="F11" s="317">
        <v>710</v>
      </c>
      <c r="G11" s="316">
        <f>SUM(C11:F11)</f>
        <v>36615</v>
      </c>
      <c r="H11" s="525">
        <v>225</v>
      </c>
      <c r="I11" s="319">
        <f>SUM(J11:L11)</f>
        <v>823.8375000000001</v>
      </c>
      <c r="J11" s="319">
        <f aca="true" t="shared" si="0" ref="J11:J43">G11*H11*0.0001</f>
        <v>823.8375000000001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0</v>
      </c>
      <c r="S11" s="407">
        <v>111.3</v>
      </c>
      <c r="T11" s="478">
        <f>J11*1113/100000</f>
        <v>9.169311375000001</v>
      </c>
    </row>
    <row r="12" spans="1:20" s="344" customFormat="1" ht="12.75">
      <c r="A12" s="201">
        <f>A11+1</f>
        <v>2</v>
      </c>
      <c r="B12" s="201" t="s">
        <v>598</v>
      </c>
      <c r="C12" s="317">
        <v>36012</v>
      </c>
      <c r="D12" s="317">
        <v>3168</v>
      </c>
      <c r="E12" s="317">
        <v>0</v>
      </c>
      <c r="F12" s="317">
        <v>0</v>
      </c>
      <c r="G12" s="316">
        <f aca="true" t="shared" si="1" ref="G12:G43">SUM(C12:F12)</f>
        <v>39180</v>
      </c>
      <c r="H12" s="525">
        <v>225</v>
      </c>
      <c r="I12" s="319">
        <f aca="true" t="shared" si="2" ref="I12:I43">SUM(J12:L12)</f>
        <v>881.5500000000001</v>
      </c>
      <c r="J12" s="319">
        <f t="shared" si="0"/>
        <v>881.5500000000001</v>
      </c>
      <c r="K12" s="319">
        <v>0</v>
      </c>
      <c r="L12" s="319">
        <v>0</v>
      </c>
      <c r="M12" s="319">
        <v>0</v>
      </c>
      <c r="N12" s="319">
        <v>0</v>
      </c>
      <c r="O12" s="319">
        <v>0</v>
      </c>
      <c r="P12" s="319">
        <v>0</v>
      </c>
      <c r="Q12" s="319">
        <v>0</v>
      </c>
      <c r="R12" s="319">
        <v>0</v>
      </c>
      <c r="S12" s="407">
        <v>111.3</v>
      </c>
      <c r="T12" s="478">
        <f aca="true" t="shared" si="3" ref="T12:T43">J12*1113/100000</f>
        <v>9.8116515</v>
      </c>
    </row>
    <row r="13" spans="1:20" s="344" customFormat="1" ht="12.75">
      <c r="A13" s="201">
        <f aca="true" t="shared" si="4" ref="A13:A43">A12+1</f>
        <v>3</v>
      </c>
      <c r="B13" s="201" t="s">
        <v>634</v>
      </c>
      <c r="C13" s="317">
        <v>58123</v>
      </c>
      <c r="D13" s="317">
        <v>19525</v>
      </c>
      <c r="E13" s="317">
        <v>0</v>
      </c>
      <c r="F13" s="317">
        <v>466</v>
      </c>
      <c r="G13" s="316">
        <f t="shared" si="1"/>
        <v>78114</v>
      </c>
      <c r="H13" s="525">
        <v>225</v>
      </c>
      <c r="I13" s="319">
        <f t="shared" si="2"/>
        <v>1757.565</v>
      </c>
      <c r="J13" s="319">
        <f t="shared" si="0"/>
        <v>1757.565</v>
      </c>
      <c r="K13" s="319">
        <v>0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407">
        <v>111.3</v>
      </c>
      <c r="T13" s="478">
        <f t="shared" si="3"/>
        <v>19.561698449999998</v>
      </c>
    </row>
    <row r="14" spans="1:20" s="344" customFormat="1" ht="12.75">
      <c r="A14" s="201">
        <f t="shared" si="4"/>
        <v>4</v>
      </c>
      <c r="B14" s="201" t="s">
        <v>599</v>
      </c>
      <c r="C14" s="317">
        <v>25865</v>
      </c>
      <c r="D14" s="317">
        <v>57</v>
      </c>
      <c r="E14" s="317">
        <v>0</v>
      </c>
      <c r="F14" s="317">
        <v>275</v>
      </c>
      <c r="G14" s="316">
        <f t="shared" si="1"/>
        <v>26197</v>
      </c>
      <c r="H14" s="525">
        <v>225</v>
      </c>
      <c r="I14" s="319">
        <f t="shared" si="2"/>
        <v>589.4325</v>
      </c>
      <c r="J14" s="319">
        <f t="shared" si="0"/>
        <v>589.4325</v>
      </c>
      <c r="K14" s="319">
        <v>0</v>
      </c>
      <c r="L14" s="319">
        <v>0</v>
      </c>
      <c r="M14" s="319">
        <v>0</v>
      </c>
      <c r="N14" s="319">
        <v>0</v>
      </c>
      <c r="O14" s="319">
        <v>0</v>
      </c>
      <c r="P14" s="319">
        <v>0</v>
      </c>
      <c r="Q14" s="319">
        <v>0</v>
      </c>
      <c r="R14" s="319">
        <v>0</v>
      </c>
      <c r="S14" s="407">
        <v>111.3</v>
      </c>
      <c r="T14" s="478">
        <f t="shared" si="3"/>
        <v>6.560383725</v>
      </c>
    </row>
    <row r="15" spans="1:20" s="344" customFormat="1" ht="12.75">
      <c r="A15" s="201">
        <f t="shared" si="4"/>
        <v>5</v>
      </c>
      <c r="B15" s="201" t="s">
        <v>600</v>
      </c>
      <c r="C15" s="317">
        <v>15686</v>
      </c>
      <c r="D15" s="317">
        <v>356</v>
      </c>
      <c r="E15" s="317">
        <v>0</v>
      </c>
      <c r="F15" s="317">
        <v>0</v>
      </c>
      <c r="G15" s="316">
        <f t="shared" si="1"/>
        <v>16042</v>
      </c>
      <c r="H15" s="525">
        <v>225</v>
      </c>
      <c r="I15" s="319">
        <f t="shared" si="2"/>
        <v>360.945</v>
      </c>
      <c r="J15" s="319">
        <f t="shared" si="0"/>
        <v>360.945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407">
        <v>111.3</v>
      </c>
      <c r="T15" s="478">
        <f t="shared" si="3"/>
        <v>4.0173178499999995</v>
      </c>
    </row>
    <row r="16" spans="1:20" s="344" customFormat="1" ht="12.75">
      <c r="A16" s="201">
        <f t="shared" si="4"/>
        <v>6</v>
      </c>
      <c r="B16" s="201" t="s">
        <v>601</v>
      </c>
      <c r="C16" s="317">
        <v>11612</v>
      </c>
      <c r="D16" s="317">
        <v>0</v>
      </c>
      <c r="E16" s="317">
        <v>0</v>
      </c>
      <c r="F16" s="317">
        <v>48</v>
      </c>
      <c r="G16" s="316">
        <f t="shared" si="1"/>
        <v>11660</v>
      </c>
      <c r="H16" s="525">
        <v>225</v>
      </c>
      <c r="I16" s="319">
        <f t="shared" si="2"/>
        <v>262.35</v>
      </c>
      <c r="J16" s="319">
        <f t="shared" si="0"/>
        <v>262.35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0</v>
      </c>
      <c r="S16" s="407">
        <v>111.3</v>
      </c>
      <c r="T16" s="478">
        <f t="shared" si="3"/>
        <v>2.9199555000000004</v>
      </c>
    </row>
    <row r="17" spans="1:20" s="344" customFormat="1" ht="12.75">
      <c r="A17" s="201">
        <f t="shared" si="4"/>
        <v>7</v>
      </c>
      <c r="B17" s="201" t="s">
        <v>602</v>
      </c>
      <c r="C17" s="317">
        <v>32945</v>
      </c>
      <c r="D17" s="317">
        <v>110</v>
      </c>
      <c r="E17" s="317">
        <v>0</v>
      </c>
      <c r="F17" s="317">
        <v>391</v>
      </c>
      <c r="G17" s="316">
        <f t="shared" si="1"/>
        <v>33446</v>
      </c>
      <c r="H17" s="525">
        <v>225</v>
      </c>
      <c r="I17" s="319">
        <f t="shared" si="2"/>
        <v>752.5350000000001</v>
      </c>
      <c r="J17" s="319">
        <f t="shared" si="0"/>
        <v>752.5350000000001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0</v>
      </c>
      <c r="R17" s="319">
        <v>0</v>
      </c>
      <c r="S17" s="407">
        <v>111.3</v>
      </c>
      <c r="T17" s="478">
        <f t="shared" si="3"/>
        <v>8.375714550000001</v>
      </c>
    </row>
    <row r="18" spans="1:20" s="344" customFormat="1" ht="12.75">
      <c r="A18" s="201">
        <f t="shared" si="4"/>
        <v>8</v>
      </c>
      <c r="B18" s="201" t="s">
        <v>603</v>
      </c>
      <c r="C18" s="317">
        <v>40858</v>
      </c>
      <c r="D18" s="317">
        <v>352</v>
      </c>
      <c r="E18" s="317">
        <v>0</v>
      </c>
      <c r="F18" s="317">
        <v>45</v>
      </c>
      <c r="G18" s="316">
        <f t="shared" si="1"/>
        <v>41255</v>
      </c>
      <c r="H18" s="525">
        <v>225</v>
      </c>
      <c r="I18" s="319">
        <f t="shared" si="2"/>
        <v>928.2375000000001</v>
      </c>
      <c r="J18" s="319">
        <f t="shared" si="0"/>
        <v>928.2375000000001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319">
        <v>0</v>
      </c>
      <c r="R18" s="319">
        <v>0</v>
      </c>
      <c r="S18" s="407">
        <v>111.3</v>
      </c>
      <c r="T18" s="478">
        <f t="shared" si="3"/>
        <v>10.331283375</v>
      </c>
    </row>
    <row r="19" spans="1:20" s="344" customFormat="1" ht="12.75">
      <c r="A19" s="201">
        <f t="shared" si="4"/>
        <v>9</v>
      </c>
      <c r="B19" s="201" t="s">
        <v>604</v>
      </c>
      <c r="C19" s="317">
        <v>16956</v>
      </c>
      <c r="D19" s="317">
        <v>991</v>
      </c>
      <c r="E19" s="317">
        <v>0</v>
      </c>
      <c r="F19" s="317">
        <v>178</v>
      </c>
      <c r="G19" s="316">
        <f t="shared" si="1"/>
        <v>18125</v>
      </c>
      <c r="H19" s="525">
        <v>225</v>
      </c>
      <c r="I19" s="319">
        <f t="shared" si="2"/>
        <v>407.8125</v>
      </c>
      <c r="J19" s="319">
        <f t="shared" si="0"/>
        <v>407.8125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407">
        <v>111.3</v>
      </c>
      <c r="T19" s="478">
        <f t="shared" si="3"/>
        <v>4.538953125</v>
      </c>
    </row>
    <row r="20" spans="1:20" s="344" customFormat="1" ht="12.75">
      <c r="A20" s="201">
        <f t="shared" si="4"/>
        <v>10</v>
      </c>
      <c r="B20" s="201" t="s">
        <v>605</v>
      </c>
      <c r="C20" s="317">
        <v>40112</v>
      </c>
      <c r="D20" s="317">
        <v>2011</v>
      </c>
      <c r="E20" s="317">
        <v>0</v>
      </c>
      <c r="F20" s="317">
        <v>51</v>
      </c>
      <c r="G20" s="316">
        <f t="shared" si="1"/>
        <v>42174</v>
      </c>
      <c r="H20" s="525">
        <v>225</v>
      </c>
      <c r="I20" s="319">
        <f t="shared" si="2"/>
        <v>948.9150000000001</v>
      </c>
      <c r="J20" s="319">
        <f t="shared" si="0"/>
        <v>948.9150000000001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19">
        <v>0</v>
      </c>
      <c r="S20" s="407">
        <v>111.3</v>
      </c>
      <c r="T20" s="478">
        <f t="shared" si="3"/>
        <v>10.56142395</v>
      </c>
    </row>
    <row r="21" spans="1:20" s="344" customFormat="1" ht="12.75">
      <c r="A21" s="201">
        <f t="shared" si="4"/>
        <v>11</v>
      </c>
      <c r="B21" s="201" t="s">
        <v>635</v>
      </c>
      <c r="C21" s="317">
        <v>27126</v>
      </c>
      <c r="D21" s="317">
        <v>712</v>
      </c>
      <c r="E21" s="317">
        <v>0</v>
      </c>
      <c r="F21" s="317">
        <v>502</v>
      </c>
      <c r="G21" s="316">
        <f t="shared" si="1"/>
        <v>28340</v>
      </c>
      <c r="H21" s="525">
        <v>225</v>
      </c>
      <c r="I21" s="319">
        <f t="shared" si="2"/>
        <v>637.65</v>
      </c>
      <c r="J21" s="319">
        <f t="shared" si="0"/>
        <v>637.65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407">
        <v>111.3</v>
      </c>
      <c r="T21" s="478">
        <f t="shared" si="3"/>
        <v>7.0970445</v>
      </c>
    </row>
    <row r="22" spans="1:20" s="344" customFormat="1" ht="12.75">
      <c r="A22" s="201">
        <f t="shared" si="4"/>
        <v>12</v>
      </c>
      <c r="B22" s="201" t="s">
        <v>606</v>
      </c>
      <c r="C22" s="317">
        <v>26315</v>
      </c>
      <c r="D22" s="317">
        <v>109</v>
      </c>
      <c r="E22" s="317">
        <v>0</v>
      </c>
      <c r="F22" s="317">
        <v>154</v>
      </c>
      <c r="G22" s="316">
        <f t="shared" si="1"/>
        <v>26578</v>
      </c>
      <c r="H22" s="525">
        <v>225</v>
      </c>
      <c r="I22" s="319">
        <f t="shared" si="2"/>
        <v>598.005</v>
      </c>
      <c r="J22" s="319">
        <f t="shared" si="0"/>
        <v>598.005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319">
        <v>0</v>
      </c>
      <c r="R22" s="319">
        <v>0</v>
      </c>
      <c r="S22" s="407">
        <v>111.3</v>
      </c>
      <c r="T22" s="478">
        <f t="shared" si="3"/>
        <v>6.655795649999999</v>
      </c>
    </row>
    <row r="23" spans="1:20" s="344" customFormat="1" ht="12.75">
      <c r="A23" s="201">
        <f t="shared" si="4"/>
        <v>13</v>
      </c>
      <c r="B23" s="201" t="s">
        <v>607</v>
      </c>
      <c r="C23" s="317">
        <v>34512</v>
      </c>
      <c r="D23" s="317">
        <v>1452</v>
      </c>
      <c r="E23" s="317">
        <v>0</v>
      </c>
      <c r="F23" s="317">
        <v>911</v>
      </c>
      <c r="G23" s="316">
        <f t="shared" si="1"/>
        <v>36875</v>
      </c>
      <c r="H23" s="525">
        <v>225</v>
      </c>
      <c r="I23" s="319">
        <f t="shared" si="2"/>
        <v>829.6875</v>
      </c>
      <c r="J23" s="319">
        <f t="shared" si="0"/>
        <v>829.6875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407">
        <v>111.3</v>
      </c>
      <c r="T23" s="478">
        <f t="shared" si="3"/>
        <v>9.234421875</v>
      </c>
    </row>
    <row r="24" spans="1:20" s="344" customFormat="1" ht="12.75">
      <c r="A24" s="201">
        <f t="shared" si="4"/>
        <v>14</v>
      </c>
      <c r="B24" s="201" t="s">
        <v>636</v>
      </c>
      <c r="C24" s="317">
        <v>19611</v>
      </c>
      <c r="D24" s="317">
        <v>1185</v>
      </c>
      <c r="E24" s="317">
        <v>0</v>
      </c>
      <c r="F24" s="317">
        <v>138</v>
      </c>
      <c r="G24" s="316">
        <f t="shared" si="1"/>
        <v>20934</v>
      </c>
      <c r="H24" s="525">
        <v>225</v>
      </c>
      <c r="I24" s="319">
        <f t="shared" si="2"/>
        <v>471.01500000000004</v>
      </c>
      <c r="J24" s="319">
        <f t="shared" si="0"/>
        <v>471.01500000000004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0</v>
      </c>
      <c r="R24" s="319">
        <v>0</v>
      </c>
      <c r="S24" s="407">
        <v>111.3</v>
      </c>
      <c r="T24" s="478">
        <f t="shared" si="3"/>
        <v>5.242396950000001</v>
      </c>
    </row>
    <row r="25" spans="1:20" s="344" customFormat="1" ht="12.75">
      <c r="A25" s="201">
        <f t="shared" si="4"/>
        <v>15</v>
      </c>
      <c r="B25" s="201" t="s">
        <v>608</v>
      </c>
      <c r="C25" s="317">
        <v>36545</v>
      </c>
      <c r="D25" s="317">
        <v>50</v>
      </c>
      <c r="E25" s="317">
        <v>0</v>
      </c>
      <c r="F25" s="317">
        <v>368</v>
      </c>
      <c r="G25" s="316">
        <f t="shared" si="1"/>
        <v>36963</v>
      </c>
      <c r="H25" s="525">
        <v>225</v>
      </c>
      <c r="I25" s="319">
        <f t="shared" si="2"/>
        <v>831.6675</v>
      </c>
      <c r="J25" s="319">
        <f t="shared" si="0"/>
        <v>831.6675</v>
      </c>
      <c r="K25" s="319">
        <v>0</v>
      </c>
      <c r="L25" s="319">
        <v>0</v>
      </c>
      <c r="M25" s="319">
        <v>0</v>
      </c>
      <c r="N25" s="319">
        <v>0</v>
      </c>
      <c r="O25" s="319">
        <v>0</v>
      </c>
      <c r="P25" s="319">
        <v>0</v>
      </c>
      <c r="Q25" s="319">
        <v>0</v>
      </c>
      <c r="R25" s="319">
        <v>0</v>
      </c>
      <c r="S25" s="407">
        <v>111.3</v>
      </c>
      <c r="T25" s="478">
        <f t="shared" si="3"/>
        <v>9.256459275</v>
      </c>
    </row>
    <row r="26" spans="1:20" s="344" customFormat="1" ht="12.75">
      <c r="A26" s="201">
        <f t="shared" si="4"/>
        <v>16</v>
      </c>
      <c r="B26" s="201" t="s">
        <v>609</v>
      </c>
      <c r="C26" s="317">
        <v>36111</v>
      </c>
      <c r="D26" s="317">
        <v>541</v>
      </c>
      <c r="E26" s="317">
        <v>0</v>
      </c>
      <c r="F26" s="317">
        <v>1368</v>
      </c>
      <c r="G26" s="316">
        <f t="shared" si="1"/>
        <v>38020</v>
      </c>
      <c r="H26" s="525">
        <v>225</v>
      </c>
      <c r="I26" s="319">
        <f t="shared" si="2"/>
        <v>855.45</v>
      </c>
      <c r="J26" s="319">
        <f t="shared" si="0"/>
        <v>855.45</v>
      </c>
      <c r="K26" s="319">
        <v>0</v>
      </c>
      <c r="L26" s="319">
        <v>0</v>
      </c>
      <c r="M26" s="319">
        <v>0</v>
      </c>
      <c r="N26" s="319">
        <v>0</v>
      </c>
      <c r="O26" s="319">
        <v>0</v>
      </c>
      <c r="P26" s="319">
        <v>0</v>
      </c>
      <c r="Q26" s="319">
        <v>0</v>
      </c>
      <c r="R26" s="319">
        <v>0</v>
      </c>
      <c r="S26" s="407">
        <v>111.3</v>
      </c>
      <c r="T26" s="478">
        <f t="shared" si="3"/>
        <v>9.5211585</v>
      </c>
    </row>
    <row r="27" spans="1:20" s="344" customFormat="1" ht="12.75">
      <c r="A27" s="201">
        <f t="shared" si="4"/>
        <v>17</v>
      </c>
      <c r="B27" s="269" t="s">
        <v>757</v>
      </c>
      <c r="C27" s="317">
        <v>10313</v>
      </c>
      <c r="D27" s="317">
        <v>61</v>
      </c>
      <c r="E27" s="317">
        <v>0</v>
      </c>
      <c r="F27" s="317">
        <v>0</v>
      </c>
      <c r="G27" s="316">
        <f t="shared" si="1"/>
        <v>10374</v>
      </c>
      <c r="H27" s="525">
        <v>225</v>
      </c>
      <c r="I27" s="319">
        <f>SUM(J27:L27)</f>
        <v>233.41500000000002</v>
      </c>
      <c r="J27" s="319">
        <f t="shared" si="0"/>
        <v>233.41500000000002</v>
      </c>
      <c r="K27" s="319">
        <v>0</v>
      </c>
      <c r="L27" s="319">
        <v>0</v>
      </c>
      <c r="M27" s="319">
        <v>0</v>
      </c>
      <c r="N27" s="319">
        <v>0</v>
      </c>
      <c r="O27" s="319">
        <v>0</v>
      </c>
      <c r="P27" s="319">
        <v>0</v>
      </c>
      <c r="Q27" s="319">
        <v>0</v>
      </c>
      <c r="R27" s="319">
        <v>0</v>
      </c>
      <c r="S27" s="407">
        <v>111.3</v>
      </c>
      <c r="T27" s="478">
        <f t="shared" si="3"/>
        <v>2.5979089500000003</v>
      </c>
    </row>
    <row r="28" spans="1:20" ht="12.75">
      <c r="A28" s="201">
        <f t="shared" si="4"/>
        <v>18</v>
      </c>
      <c r="B28" s="201" t="s">
        <v>610</v>
      </c>
      <c r="C28" s="308">
        <v>32136</v>
      </c>
      <c r="D28" s="308">
        <v>675</v>
      </c>
      <c r="E28" s="317">
        <v>0</v>
      </c>
      <c r="F28" s="308">
        <v>40</v>
      </c>
      <c r="G28" s="316">
        <f t="shared" si="1"/>
        <v>32851</v>
      </c>
      <c r="H28" s="525">
        <v>225</v>
      </c>
      <c r="I28" s="319">
        <f t="shared" si="2"/>
        <v>739.1475</v>
      </c>
      <c r="J28" s="319">
        <f t="shared" si="0"/>
        <v>739.1475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319">
        <v>0</v>
      </c>
      <c r="R28" s="319">
        <v>0</v>
      </c>
      <c r="S28" s="407">
        <v>111.3</v>
      </c>
      <c r="T28" s="478">
        <f t="shared" si="3"/>
        <v>8.226711675</v>
      </c>
    </row>
    <row r="29" spans="1:20" ht="12.75">
      <c r="A29" s="201">
        <f t="shared" si="4"/>
        <v>19</v>
      </c>
      <c r="B29" s="201" t="s">
        <v>611</v>
      </c>
      <c r="C29" s="308">
        <v>44666</v>
      </c>
      <c r="D29" s="308">
        <v>3856</v>
      </c>
      <c r="E29" s="317">
        <v>0</v>
      </c>
      <c r="F29" s="308">
        <v>801</v>
      </c>
      <c r="G29" s="316">
        <f t="shared" si="1"/>
        <v>49323</v>
      </c>
      <c r="H29" s="525">
        <v>225</v>
      </c>
      <c r="I29" s="319">
        <f t="shared" si="2"/>
        <v>1109.7675000000002</v>
      </c>
      <c r="J29" s="319">
        <f t="shared" si="0"/>
        <v>1109.7675000000002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  <c r="S29" s="407">
        <v>111.3</v>
      </c>
      <c r="T29" s="478">
        <f t="shared" si="3"/>
        <v>12.351712275000002</v>
      </c>
    </row>
    <row r="30" spans="1:20" ht="12.75">
      <c r="A30" s="201">
        <f t="shared" si="4"/>
        <v>20</v>
      </c>
      <c r="B30" s="269" t="s">
        <v>756</v>
      </c>
      <c r="C30" s="308">
        <v>30756</v>
      </c>
      <c r="D30" s="308">
        <v>539</v>
      </c>
      <c r="E30" s="317">
        <v>0</v>
      </c>
      <c r="F30" s="308">
        <v>402</v>
      </c>
      <c r="G30" s="316">
        <f t="shared" si="1"/>
        <v>31697</v>
      </c>
      <c r="H30" s="525">
        <v>225</v>
      </c>
      <c r="I30" s="319">
        <f>SUM(J30:L30)</f>
        <v>713.1825</v>
      </c>
      <c r="J30" s="319">
        <f t="shared" si="0"/>
        <v>713.1825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407">
        <v>111.3</v>
      </c>
      <c r="T30" s="478">
        <f t="shared" si="3"/>
        <v>7.937721225000001</v>
      </c>
    </row>
    <row r="31" spans="1:20" ht="12.75">
      <c r="A31" s="201">
        <f t="shared" si="4"/>
        <v>21</v>
      </c>
      <c r="B31" s="201" t="s">
        <v>637</v>
      </c>
      <c r="C31" s="308">
        <v>25656</v>
      </c>
      <c r="D31" s="308">
        <v>210</v>
      </c>
      <c r="E31" s="317">
        <v>0</v>
      </c>
      <c r="F31" s="308">
        <v>733</v>
      </c>
      <c r="G31" s="316">
        <f t="shared" si="1"/>
        <v>26599</v>
      </c>
      <c r="H31" s="525">
        <v>225</v>
      </c>
      <c r="I31" s="319">
        <f t="shared" si="2"/>
        <v>598.4775000000001</v>
      </c>
      <c r="J31" s="319">
        <f t="shared" si="0"/>
        <v>598.4775000000001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407">
        <v>111.3</v>
      </c>
      <c r="T31" s="478">
        <f t="shared" si="3"/>
        <v>6.661054575000001</v>
      </c>
    </row>
    <row r="32" spans="1:20" ht="12.75">
      <c r="A32" s="201">
        <f t="shared" si="4"/>
        <v>22</v>
      </c>
      <c r="B32" s="201" t="s">
        <v>612</v>
      </c>
      <c r="C32" s="308">
        <v>43562</v>
      </c>
      <c r="D32" s="308">
        <v>6311</v>
      </c>
      <c r="E32" s="317">
        <v>0</v>
      </c>
      <c r="F32" s="308">
        <v>0</v>
      </c>
      <c r="G32" s="316">
        <f t="shared" si="1"/>
        <v>49873</v>
      </c>
      <c r="H32" s="525">
        <v>225</v>
      </c>
      <c r="I32" s="319">
        <f t="shared" si="2"/>
        <v>1122.1425000000002</v>
      </c>
      <c r="J32" s="319">
        <f t="shared" si="0"/>
        <v>1122.1425000000002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407">
        <v>111.3</v>
      </c>
      <c r="T32" s="478">
        <f t="shared" si="3"/>
        <v>12.489446025000003</v>
      </c>
    </row>
    <row r="33" spans="1:20" ht="12.75">
      <c r="A33" s="201">
        <f t="shared" si="4"/>
        <v>23</v>
      </c>
      <c r="B33" s="201" t="s">
        <v>613</v>
      </c>
      <c r="C33" s="308">
        <v>13393</v>
      </c>
      <c r="D33" s="308">
        <v>450</v>
      </c>
      <c r="E33" s="317">
        <v>0</v>
      </c>
      <c r="F33" s="308">
        <v>233</v>
      </c>
      <c r="G33" s="316">
        <f t="shared" si="1"/>
        <v>14076</v>
      </c>
      <c r="H33" s="525">
        <v>225</v>
      </c>
      <c r="I33" s="319">
        <f t="shared" si="2"/>
        <v>316.71000000000004</v>
      </c>
      <c r="J33" s="319">
        <f t="shared" si="0"/>
        <v>316.71000000000004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407">
        <v>111.3</v>
      </c>
      <c r="T33" s="478">
        <f t="shared" si="3"/>
        <v>3.5249823000000005</v>
      </c>
    </row>
    <row r="34" spans="1:20" ht="12.75">
      <c r="A34" s="201">
        <f t="shared" si="4"/>
        <v>24</v>
      </c>
      <c r="B34" s="201" t="s">
        <v>614</v>
      </c>
      <c r="C34" s="308">
        <v>15866</v>
      </c>
      <c r="D34" s="308">
        <v>111</v>
      </c>
      <c r="E34" s="317">
        <v>0</v>
      </c>
      <c r="F34" s="308">
        <v>2</v>
      </c>
      <c r="G34" s="316">
        <f t="shared" si="1"/>
        <v>15979</v>
      </c>
      <c r="H34" s="525">
        <v>225</v>
      </c>
      <c r="I34" s="319">
        <f t="shared" si="2"/>
        <v>359.52750000000003</v>
      </c>
      <c r="J34" s="319">
        <f t="shared" si="0"/>
        <v>359.52750000000003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0</v>
      </c>
      <c r="Q34" s="319">
        <v>0</v>
      </c>
      <c r="R34" s="319">
        <v>0</v>
      </c>
      <c r="S34" s="407">
        <v>111.3</v>
      </c>
      <c r="T34" s="478">
        <f t="shared" si="3"/>
        <v>4.0015410750000004</v>
      </c>
    </row>
    <row r="35" spans="1:20" ht="12.75">
      <c r="A35" s="201">
        <f t="shared" si="4"/>
        <v>25</v>
      </c>
      <c r="B35" s="201" t="s">
        <v>615</v>
      </c>
      <c r="C35" s="308">
        <v>65125</v>
      </c>
      <c r="D35" s="308">
        <v>1722</v>
      </c>
      <c r="E35" s="317">
        <v>0</v>
      </c>
      <c r="F35" s="308">
        <v>2352</v>
      </c>
      <c r="G35" s="316">
        <f t="shared" si="1"/>
        <v>69199</v>
      </c>
      <c r="H35" s="525">
        <v>225</v>
      </c>
      <c r="I35" s="319">
        <f t="shared" si="2"/>
        <v>1556.9775</v>
      </c>
      <c r="J35" s="319">
        <f t="shared" si="0"/>
        <v>1556.9775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0</v>
      </c>
      <c r="R35" s="319">
        <v>0</v>
      </c>
      <c r="S35" s="407">
        <v>111.3</v>
      </c>
      <c r="T35" s="478">
        <f t="shared" si="3"/>
        <v>17.329159575</v>
      </c>
    </row>
    <row r="36" spans="1:20" ht="12.75">
      <c r="A36" s="201">
        <f t="shared" si="4"/>
        <v>26</v>
      </c>
      <c r="B36" s="201" t="s">
        <v>616</v>
      </c>
      <c r="C36" s="308">
        <v>54252</v>
      </c>
      <c r="D36" s="308">
        <v>531</v>
      </c>
      <c r="E36" s="317">
        <v>0</v>
      </c>
      <c r="F36" s="308">
        <v>511</v>
      </c>
      <c r="G36" s="316">
        <f t="shared" si="1"/>
        <v>55294</v>
      </c>
      <c r="H36" s="525">
        <v>225</v>
      </c>
      <c r="I36" s="319">
        <f t="shared" si="2"/>
        <v>1244.115</v>
      </c>
      <c r="J36" s="319">
        <f t="shared" si="0"/>
        <v>1244.115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319">
        <v>0</v>
      </c>
      <c r="R36" s="319">
        <v>0</v>
      </c>
      <c r="S36" s="407">
        <v>111.3</v>
      </c>
      <c r="T36" s="478">
        <f t="shared" si="3"/>
        <v>13.84699995</v>
      </c>
    </row>
    <row r="37" spans="1:20" ht="12.75">
      <c r="A37" s="201">
        <f t="shared" si="4"/>
        <v>27</v>
      </c>
      <c r="B37" s="201" t="s">
        <v>617</v>
      </c>
      <c r="C37" s="308">
        <v>35056</v>
      </c>
      <c r="D37" s="308">
        <v>31</v>
      </c>
      <c r="E37" s="317">
        <v>0</v>
      </c>
      <c r="F37" s="308">
        <v>190</v>
      </c>
      <c r="G37" s="316">
        <f t="shared" si="1"/>
        <v>35277</v>
      </c>
      <c r="H37" s="525">
        <v>225</v>
      </c>
      <c r="I37" s="319">
        <f t="shared" si="2"/>
        <v>793.7325000000001</v>
      </c>
      <c r="J37" s="319">
        <f t="shared" si="0"/>
        <v>793.7325000000001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407">
        <v>111.3</v>
      </c>
      <c r="T37" s="478">
        <f t="shared" si="3"/>
        <v>8.834242725000001</v>
      </c>
    </row>
    <row r="38" spans="1:20" ht="12.75">
      <c r="A38" s="201">
        <f t="shared" si="4"/>
        <v>28</v>
      </c>
      <c r="B38" s="201" t="s">
        <v>618</v>
      </c>
      <c r="C38" s="308">
        <v>28111</v>
      </c>
      <c r="D38" s="308">
        <v>1536</v>
      </c>
      <c r="E38" s="317">
        <v>0</v>
      </c>
      <c r="F38" s="308">
        <v>455</v>
      </c>
      <c r="G38" s="316">
        <f t="shared" si="1"/>
        <v>30102</v>
      </c>
      <c r="H38" s="525">
        <v>225</v>
      </c>
      <c r="I38" s="319">
        <f t="shared" si="2"/>
        <v>677.2950000000001</v>
      </c>
      <c r="J38" s="319">
        <f t="shared" si="0"/>
        <v>677.2950000000001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407">
        <v>111.3</v>
      </c>
      <c r="T38" s="478">
        <f t="shared" si="3"/>
        <v>7.538293350000001</v>
      </c>
    </row>
    <row r="39" spans="1:20" ht="12.75">
      <c r="A39" s="201">
        <f t="shared" si="4"/>
        <v>29</v>
      </c>
      <c r="B39" s="201" t="s">
        <v>619</v>
      </c>
      <c r="C39" s="308">
        <v>43251</v>
      </c>
      <c r="D39" s="308">
        <v>2275</v>
      </c>
      <c r="E39" s="317">
        <v>0</v>
      </c>
      <c r="F39" s="308">
        <v>73</v>
      </c>
      <c r="G39" s="316">
        <f t="shared" si="1"/>
        <v>45599</v>
      </c>
      <c r="H39" s="525">
        <v>225</v>
      </c>
      <c r="I39" s="319">
        <f t="shared" si="2"/>
        <v>1025.9775</v>
      </c>
      <c r="J39" s="319">
        <f t="shared" si="0"/>
        <v>1025.9775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407">
        <v>111.3</v>
      </c>
      <c r="T39" s="478">
        <f t="shared" si="3"/>
        <v>11.419129575</v>
      </c>
    </row>
    <row r="40" spans="1:20" ht="12.75">
      <c r="A40" s="201">
        <f t="shared" si="4"/>
        <v>30</v>
      </c>
      <c r="B40" s="143" t="s">
        <v>620</v>
      </c>
      <c r="C40" s="308">
        <v>22053</v>
      </c>
      <c r="D40" s="308">
        <v>193</v>
      </c>
      <c r="E40" s="317">
        <v>0</v>
      </c>
      <c r="F40" s="308">
        <v>0</v>
      </c>
      <c r="G40" s="316">
        <f t="shared" si="1"/>
        <v>22246</v>
      </c>
      <c r="H40" s="525">
        <v>225</v>
      </c>
      <c r="I40" s="319">
        <f t="shared" si="2"/>
        <v>500.535</v>
      </c>
      <c r="J40" s="319">
        <f t="shared" si="0"/>
        <v>500.535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407">
        <v>111.3</v>
      </c>
      <c r="T40" s="478">
        <f t="shared" si="3"/>
        <v>5.570954550000001</v>
      </c>
    </row>
    <row r="41" spans="1:20" ht="12.75">
      <c r="A41" s="201">
        <f t="shared" si="4"/>
        <v>31</v>
      </c>
      <c r="B41" s="143" t="s">
        <v>621</v>
      </c>
      <c r="C41" s="308">
        <v>17365</v>
      </c>
      <c r="D41" s="308">
        <v>54</v>
      </c>
      <c r="E41" s="317">
        <v>0</v>
      </c>
      <c r="F41" s="308">
        <v>46</v>
      </c>
      <c r="G41" s="316">
        <f t="shared" si="1"/>
        <v>17465</v>
      </c>
      <c r="H41" s="525">
        <v>225</v>
      </c>
      <c r="I41" s="319">
        <f t="shared" si="2"/>
        <v>392.96250000000003</v>
      </c>
      <c r="J41" s="319">
        <f t="shared" si="0"/>
        <v>392.96250000000003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407">
        <v>111.3</v>
      </c>
      <c r="T41" s="478">
        <f t="shared" si="3"/>
        <v>4.373672625</v>
      </c>
    </row>
    <row r="42" spans="1:20" ht="12.75">
      <c r="A42" s="201">
        <f t="shared" si="4"/>
        <v>32</v>
      </c>
      <c r="B42" s="143" t="s">
        <v>622</v>
      </c>
      <c r="C42" s="308">
        <v>17685</v>
      </c>
      <c r="D42" s="308">
        <v>2724</v>
      </c>
      <c r="E42" s="317">
        <v>0</v>
      </c>
      <c r="F42" s="308">
        <v>771</v>
      </c>
      <c r="G42" s="316">
        <f t="shared" si="1"/>
        <v>21180</v>
      </c>
      <c r="H42" s="525">
        <v>225</v>
      </c>
      <c r="I42" s="319">
        <f t="shared" si="2"/>
        <v>476.55</v>
      </c>
      <c r="J42" s="319">
        <f t="shared" si="0"/>
        <v>476.55</v>
      </c>
      <c r="K42" s="319">
        <v>0</v>
      </c>
      <c r="L42" s="319">
        <v>0</v>
      </c>
      <c r="M42" s="319">
        <v>0</v>
      </c>
      <c r="N42" s="319">
        <v>0</v>
      </c>
      <c r="O42" s="319">
        <v>0</v>
      </c>
      <c r="P42" s="319">
        <v>0</v>
      </c>
      <c r="Q42" s="319">
        <v>0</v>
      </c>
      <c r="R42" s="319">
        <v>0</v>
      </c>
      <c r="S42" s="407">
        <v>111.3</v>
      </c>
      <c r="T42" s="478">
        <f t="shared" si="3"/>
        <v>5.3040015</v>
      </c>
    </row>
    <row r="43" spans="1:20" ht="12.75">
      <c r="A43" s="201">
        <f t="shared" si="4"/>
        <v>33</v>
      </c>
      <c r="B43" s="143" t="s">
        <v>623</v>
      </c>
      <c r="C43" s="308">
        <v>17652</v>
      </c>
      <c r="D43" s="308">
        <v>224</v>
      </c>
      <c r="E43" s="317">
        <v>0</v>
      </c>
      <c r="F43" s="308">
        <v>128</v>
      </c>
      <c r="G43" s="316">
        <f t="shared" si="1"/>
        <v>18004</v>
      </c>
      <c r="H43" s="525">
        <v>225</v>
      </c>
      <c r="I43" s="319">
        <f t="shared" si="2"/>
        <v>405.09000000000003</v>
      </c>
      <c r="J43" s="319">
        <f t="shared" si="0"/>
        <v>405.09000000000003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407">
        <v>111.3</v>
      </c>
      <c r="T43" s="478">
        <f t="shared" si="3"/>
        <v>4.508651700000001</v>
      </c>
    </row>
    <row r="44" spans="1:20" ht="12.75">
      <c r="A44" s="150"/>
      <c r="B44" s="150" t="s">
        <v>624</v>
      </c>
      <c r="C44" s="194">
        <f>SUM(C11:C43)</f>
        <v>1010910</v>
      </c>
      <c r="D44" s="194">
        <f aca="true" t="shared" si="5" ref="D44:T44">SUM(D11:D43)</f>
        <v>52404</v>
      </c>
      <c r="E44" s="194">
        <f t="shared" si="5"/>
        <v>0</v>
      </c>
      <c r="F44" s="194">
        <f t="shared" si="5"/>
        <v>12342</v>
      </c>
      <c r="G44" s="194">
        <f t="shared" si="5"/>
        <v>1075656</v>
      </c>
      <c r="H44" s="194">
        <v>225</v>
      </c>
      <c r="I44" s="320">
        <f t="shared" si="5"/>
        <v>24202.260000000006</v>
      </c>
      <c r="J44" s="320">
        <f t="shared" si="5"/>
        <v>24202.260000000006</v>
      </c>
      <c r="K44" s="320">
        <f t="shared" si="5"/>
        <v>0</v>
      </c>
      <c r="L44" s="320">
        <f t="shared" si="5"/>
        <v>0</v>
      </c>
      <c r="M44" s="320">
        <f t="shared" si="5"/>
        <v>0</v>
      </c>
      <c r="N44" s="320">
        <f t="shared" si="5"/>
        <v>0</v>
      </c>
      <c r="O44" s="320">
        <f t="shared" si="5"/>
        <v>0</v>
      </c>
      <c r="P44" s="320">
        <f t="shared" si="5"/>
        <v>0</v>
      </c>
      <c r="Q44" s="320">
        <f t="shared" si="5"/>
        <v>0</v>
      </c>
      <c r="R44" s="320">
        <f t="shared" si="5"/>
        <v>0</v>
      </c>
      <c r="S44" s="320">
        <v>111.3</v>
      </c>
      <c r="T44" s="320">
        <f t="shared" si="5"/>
        <v>269.37115380000006</v>
      </c>
    </row>
    <row r="45" spans="1:18" ht="12.75">
      <c r="A45" s="130" t="s">
        <v>9</v>
      </c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18" ht="12.75">
      <c r="A46" s="130" t="s">
        <v>10</v>
      </c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.75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.75">
      <c r="A48" s="130"/>
      <c r="B48" s="130"/>
      <c r="C48" s="130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.75">
      <c r="A49" s="130"/>
      <c r="B49" s="130"/>
      <c r="C49" s="128"/>
      <c r="D49" s="128"/>
      <c r="E49" s="128"/>
      <c r="F49" s="128"/>
      <c r="G49" s="128"/>
      <c r="H49" s="128"/>
      <c r="I49" s="128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18" ht="12.75">
      <c r="A50" s="850"/>
      <c r="B50" s="850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</row>
    <row r="51" spans="13:20" ht="14.25">
      <c r="M51" s="846" t="s">
        <v>860</v>
      </c>
      <c r="N51" s="846"/>
      <c r="O51" s="846"/>
      <c r="P51" s="846"/>
      <c r="Q51" s="846"/>
      <c r="R51" s="846"/>
      <c r="S51" s="846"/>
      <c r="T51" s="846"/>
    </row>
    <row r="52" spans="13:20" ht="14.25">
      <c r="M52" s="846" t="s">
        <v>653</v>
      </c>
      <c r="N52" s="846"/>
      <c r="O52" s="846"/>
      <c r="P52" s="846"/>
      <c r="Q52" s="846"/>
      <c r="R52" s="846"/>
      <c r="S52" s="846"/>
      <c r="T52" s="846"/>
    </row>
  </sheetData>
  <sheetProtection/>
  <mergeCells count="18">
    <mergeCell ref="M51:T51"/>
    <mergeCell ref="H8:H9"/>
    <mergeCell ref="I8:L8"/>
    <mergeCell ref="M8:R8"/>
    <mergeCell ref="S8:T8"/>
    <mergeCell ref="A2:T2"/>
    <mergeCell ref="A3:T3"/>
    <mergeCell ref="A4:T5"/>
    <mergeCell ref="M52:T52"/>
    <mergeCell ref="G1:I1"/>
    <mergeCell ref="A6:R6"/>
    <mergeCell ref="S1:T1"/>
    <mergeCell ref="A50:R50"/>
    <mergeCell ref="L7:R7"/>
    <mergeCell ref="A8:A9"/>
    <mergeCell ref="B8:B9"/>
    <mergeCell ref="C8:G8"/>
    <mergeCell ref="A7:B7"/>
  </mergeCells>
  <printOptions horizontalCentered="1"/>
  <pageMargins left="0.32" right="0.22" top="0.48" bottom="0" header="0.31496062992125984" footer="0.31496062992125984"/>
  <pageSetup fitToHeight="1" fitToWidth="1" horizontalDpi="600" verticalDpi="600" orientation="landscape" paperSize="9" scale="7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1"/>
  <sheetViews>
    <sheetView view="pageBreakPreview" zoomScale="85" zoomScaleNormal="70" zoomScaleSheetLayoutView="85" zoomScalePageLayoutView="0" workbookViewId="0" topLeftCell="A12">
      <selection activeCell="R38" sqref="R38"/>
    </sheetView>
  </sheetViews>
  <sheetFormatPr defaultColWidth="9.140625" defaultRowHeight="12.75"/>
  <cols>
    <col min="1" max="1" width="5.57421875" style="128" customWidth="1"/>
    <col min="2" max="2" width="17.57421875" style="128" customWidth="1"/>
    <col min="3" max="3" width="10.28125" style="128" customWidth="1"/>
    <col min="4" max="4" width="8.421875" style="128" customWidth="1"/>
    <col min="5" max="6" width="9.8515625" style="128" customWidth="1"/>
    <col min="7" max="7" width="10.8515625" style="128" customWidth="1"/>
    <col min="8" max="8" width="12.8515625" style="128" customWidth="1"/>
    <col min="9" max="9" width="11.00390625" style="278" customWidth="1"/>
    <col min="10" max="10" width="9.00390625" style="278" customWidth="1"/>
    <col min="11" max="11" width="8.00390625" style="278" customWidth="1"/>
    <col min="12" max="14" width="8.140625" style="278" customWidth="1"/>
    <col min="15" max="15" width="8.421875" style="278" customWidth="1"/>
    <col min="16" max="16" width="8.140625" style="278" customWidth="1"/>
    <col min="17" max="17" width="8.8515625" style="278" customWidth="1"/>
    <col min="18" max="18" width="8.140625" style="278" customWidth="1"/>
    <col min="19" max="16384" width="9.140625" style="278" customWidth="1"/>
  </cols>
  <sheetData>
    <row r="1" spans="7:20" ht="12.75" customHeight="1">
      <c r="G1" s="847"/>
      <c r="H1" s="847"/>
      <c r="I1" s="847"/>
      <c r="J1" s="128"/>
      <c r="K1" s="128"/>
      <c r="L1" s="128"/>
      <c r="M1" s="128"/>
      <c r="N1" s="128"/>
      <c r="O1" s="128"/>
      <c r="P1" s="128"/>
      <c r="S1" s="849" t="s">
        <v>532</v>
      </c>
      <c r="T1" s="849"/>
    </row>
    <row r="2" spans="1:20" ht="15.7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</row>
    <row r="3" spans="1:20" ht="18">
      <c r="A3" s="860" t="s">
        <v>695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</row>
    <row r="4" spans="1:20" ht="12.75" customHeight="1">
      <c r="A4" s="861" t="s">
        <v>736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</row>
    <row r="5" spans="1:20" s="343" customFormat="1" ht="7.5" customHeight="1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</row>
    <row r="6" spans="1:18" ht="12.7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</row>
    <row r="7" spans="1:18" ht="12.75">
      <c r="A7" s="855" t="s">
        <v>665</v>
      </c>
      <c r="B7" s="855"/>
      <c r="H7" s="182"/>
      <c r="I7" s="128"/>
      <c r="J7" s="128"/>
      <c r="K7" s="128"/>
      <c r="L7" s="851"/>
      <c r="M7" s="851"/>
      <c r="N7" s="851"/>
      <c r="O7" s="851"/>
      <c r="P7" s="851"/>
      <c r="Q7" s="851"/>
      <c r="R7" s="851"/>
    </row>
    <row r="8" spans="1:20" ht="30.75" customHeight="1">
      <c r="A8" s="862" t="s">
        <v>2</v>
      </c>
      <c r="B8" s="862" t="s">
        <v>3</v>
      </c>
      <c r="C8" s="863" t="s">
        <v>484</v>
      </c>
      <c r="D8" s="864"/>
      <c r="E8" s="864"/>
      <c r="F8" s="864"/>
      <c r="G8" s="865"/>
      <c r="H8" s="856" t="s">
        <v>80</v>
      </c>
      <c r="I8" s="863" t="s">
        <v>81</v>
      </c>
      <c r="J8" s="864"/>
      <c r="K8" s="864"/>
      <c r="L8" s="865"/>
      <c r="M8" s="862" t="s">
        <v>569</v>
      </c>
      <c r="N8" s="862"/>
      <c r="O8" s="862"/>
      <c r="P8" s="862"/>
      <c r="Q8" s="862"/>
      <c r="R8" s="862"/>
      <c r="S8" s="858" t="s">
        <v>832</v>
      </c>
      <c r="T8" s="858"/>
    </row>
    <row r="9" spans="1:20" ht="44.25" customHeight="1">
      <c r="A9" s="862"/>
      <c r="B9" s="862"/>
      <c r="C9" s="178" t="s">
        <v>5</v>
      </c>
      <c r="D9" s="178" t="s">
        <v>6</v>
      </c>
      <c r="E9" s="178" t="s">
        <v>348</v>
      </c>
      <c r="F9" s="183" t="s">
        <v>95</v>
      </c>
      <c r="G9" s="183" t="s">
        <v>225</v>
      </c>
      <c r="H9" s="857"/>
      <c r="I9" s="178" t="s">
        <v>177</v>
      </c>
      <c r="J9" s="178" t="s">
        <v>110</v>
      </c>
      <c r="K9" s="178" t="s">
        <v>111</v>
      </c>
      <c r="L9" s="178" t="s">
        <v>432</v>
      </c>
      <c r="M9" s="350" t="s">
        <v>16</v>
      </c>
      <c r="N9" s="350" t="s">
        <v>660</v>
      </c>
      <c r="O9" s="350" t="s">
        <v>661</v>
      </c>
      <c r="P9" s="350" t="s">
        <v>572</v>
      </c>
      <c r="Q9" s="350" t="s">
        <v>573</v>
      </c>
      <c r="R9" s="350" t="s">
        <v>574</v>
      </c>
      <c r="S9" s="426" t="s">
        <v>833</v>
      </c>
      <c r="T9" s="426" t="s">
        <v>834</v>
      </c>
    </row>
    <row r="10" spans="1:20" s="344" customFormat="1" ht="12.75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  <c r="L10" s="178">
        <v>12</v>
      </c>
      <c r="M10" s="350">
        <v>13</v>
      </c>
      <c r="N10" s="350">
        <v>14</v>
      </c>
      <c r="O10" s="350">
        <v>15</v>
      </c>
      <c r="P10" s="350">
        <v>16</v>
      </c>
      <c r="Q10" s="350">
        <v>17</v>
      </c>
      <c r="R10" s="350">
        <v>18</v>
      </c>
      <c r="S10" s="471">
        <v>19</v>
      </c>
      <c r="T10" s="471">
        <v>20</v>
      </c>
    </row>
    <row r="11" spans="1:20" s="344" customFormat="1" ht="12.75">
      <c r="A11" s="201">
        <v>1</v>
      </c>
      <c r="B11" s="201" t="s">
        <v>633</v>
      </c>
      <c r="C11" s="317">
        <v>15112</v>
      </c>
      <c r="D11" s="317">
        <v>187</v>
      </c>
      <c r="E11" s="317">
        <v>0</v>
      </c>
      <c r="F11" s="317">
        <v>335</v>
      </c>
      <c r="G11" s="317">
        <f>SUM(C11:F11)</f>
        <v>15634</v>
      </c>
      <c r="H11" s="318">
        <v>225</v>
      </c>
      <c r="I11" s="319">
        <f>SUM(J11:L11)</f>
        <v>527.6474999999999</v>
      </c>
      <c r="J11" s="319">
        <f>G11*H11*0.00015</f>
        <v>527.6474999999999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319">
        <v>0</v>
      </c>
      <c r="R11" s="319">
        <v>0</v>
      </c>
      <c r="S11" s="407">
        <v>111.3</v>
      </c>
      <c r="T11" s="478">
        <f>J11*1113/100000</f>
        <v>5.872716674999999</v>
      </c>
    </row>
    <row r="12" spans="1:20" s="344" customFormat="1" ht="12.75">
      <c r="A12" s="201">
        <f>A11+1</f>
        <v>2</v>
      </c>
      <c r="B12" s="201" t="s">
        <v>598</v>
      </c>
      <c r="C12" s="317">
        <v>16324</v>
      </c>
      <c r="D12" s="317">
        <v>1735</v>
      </c>
      <c r="E12" s="317">
        <v>0</v>
      </c>
      <c r="F12" s="317">
        <v>0</v>
      </c>
      <c r="G12" s="317">
        <f aca="true" t="shared" si="0" ref="G12:G43">SUM(C12:F12)</f>
        <v>18059</v>
      </c>
      <c r="H12" s="318">
        <v>225</v>
      </c>
      <c r="I12" s="319">
        <f aca="true" t="shared" si="1" ref="I12:I43">SUM(J12:L12)</f>
        <v>609.4912499999999</v>
      </c>
      <c r="J12" s="319">
        <f aca="true" t="shared" si="2" ref="J12:J43">G12*H12*0.00015</f>
        <v>609.4912499999999</v>
      </c>
      <c r="K12" s="319">
        <v>0</v>
      </c>
      <c r="L12" s="319">
        <v>0</v>
      </c>
      <c r="M12" s="319">
        <v>0</v>
      </c>
      <c r="N12" s="319">
        <v>0</v>
      </c>
      <c r="O12" s="319">
        <v>0</v>
      </c>
      <c r="P12" s="319">
        <v>0</v>
      </c>
      <c r="Q12" s="319">
        <v>0</v>
      </c>
      <c r="R12" s="319">
        <v>0</v>
      </c>
      <c r="S12" s="407">
        <v>111.3</v>
      </c>
      <c r="T12" s="478">
        <f aca="true" t="shared" si="3" ref="T12:T43">J12*1113/100000</f>
        <v>6.783637612499999</v>
      </c>
    </row>
    <row r="13" spans="1:20" s="344" customFormat="1" ht="12.75">
      <c r="A13" s="201">
        <f aca="true" t="shared" si="4" ref="A13:A43">A12+1</f>
        <v>3</v>
      </c>
      <c r="B13" s="201" t="s">
        <v>634</v>
      </c>
      <c r="C13" s="317">
        <v>29345</v>
      </c>
      <c r="D13" s="317">
        <v>12163</v>
      </c>
      <c r="E13" s="317">
        <v>0</v>
      </c>
      <c r="F13" s="317">
        <v>48</v>
      </c>
      <c r="G13" s="317">
        <f t="shared" si="0"/>
        <v>41556</v>
      </c>
      <c r="H13" s="318">
        <v>225</v>
      </c>
      <c r="I13" s="319">
        <f t="shared" si="1"/>
        <v>1402.5149999999999</v>
      </c>
      <c r="J13" s="319">
        <f t="shared" si="2"/>
        <v>1402.5149999999999</v>
      </c>
      <c r="K13" s="319">
        <v>0</v>
      </c>
      <c r="L13" s="319">
        <v>0</v>
      </c>
      <c r="M13" s="319">
        <v>0</v>
      </c>
      <c r="N13" s="319">
        <v>0</v>
      </c>
      <c r="O13" s="319">
        <v>0</v>
      </c>
      <c r="P13" s="319">
        <v>0</v>
      </c>
      <c r="Q13" s="319">
        <v>0</v>
      </c>
      <c r="R13" s="319">
        <v>0</v>
      </c>
      <c r="S13" s="407">
        <v>111.3</v>
      </c>
      <c r="T13" s="478">
        <f t="shared" si="3"/>
        <v>15.609991949999998</v>
      </c>
    </row>
    <row r="14" spans="1:20" s="344" customFormat="1" ht="12.75">
      <c r="A14" s="201">
        <f t="shared" si="4"/>
        <v>4</v>
      </c>
      <c r="B14" s="201" t="s">
        <v>599</v>
      </c>
      <c r="C14" s="317">
        <v>18524</v>
      </c>
      <c r="D14" s="317">
        <v>10</v>
      </c>
      <c r="E14" s="317">
        <v>0</v>
      </c>
      <c r="F14" s="317">
        <v>0</v>
      </c>
      <c r="G14" s="317">
        <f t="shared" si="0"/>
        <v>18534</v>
      </c>
      <c r="H14" s="318">
        <v>225</v>
      </c>
      <c r="I14" s="319">
        <f t="shared" si="1"/>
        <v>625.5224999999999</v>
      </c>
      <c r="J14" s="319">
        <f t="shared" si="2"/>
        <v>625.5224999999999</v>
      </c>
      <c r="K14" s="319">
        <v>0</v>
      </c>
      <c r="L14" s="319">
        <v>0</v>
      </c>
      <c r="M14" s="319">
        <v>0</v>
      </c>
      <c r="N14" s="319">
        <v>0</v>
      </c>
      <c r="O14" s="319">
        <v>0</v>
      </c>
      <c r="P14" s="319">
        <v>0</v>
      </c>
      <c r="Q14" s="319">
        <v>0</v>
      </c>
      <c r="R14" s="319">
        <v>0</v>
      </c>
      <c r="S14" s="407">
        <v>111.3</v>
      </c>
      <c r="T14" s="478">
        <f t="shared" si="3"/>
        <v>6.962065424999999</v>
      </c>
    </row>
    <row r="15" spans="1:20" s="344" customFormat="1" ht="12.75">
      <c r="A15" s="201">
        <f t="shared" si="4"/>
        <v>5</v>
      </c>
      <c r="B15" s="201" t="s">
        <v>600</v>
      </c>
      <c r="C15" s="317">
        <v>12116</v>
      </c>
      <c r="D15" s="317">
        <v>112</v>
      </c>
      <c r="E15" s="317">
        <v>0</v>
      </c>
      <c r="F15" s="317">
        <v>0</v>
      </c>
      <c r="G15" s="317">
        <f t="shared" si="0"/>
        <v>12228</v>
      </c>
      <c r="H15" s="318">
        <v>225</v>
      </c>
      <c r="I15" s="319">
        <f t="shared" si="1"/>
        <v>412.69499999999994</v>
      </c>
      <c r="J15" s="319">
        <f t="shared" si="2"/>
        <v>412.69499999999994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319">
        <v>0</v>
      </c>
      <c r="R15" s="319">
        <v>0</v>
      </c>
      <c r="S15" s="407">
        <v>111.3</v>
      </c>
      <c r="T15" s="478">
        <f t="shared" si="3"/>
        <v>4.593295349999999</v>
      </c>
    </row>
    <row r="16" spans="1:20" s="344" customFormat="1" ht="12.75">
      <c r="A16" s="201">
        <f t="shared" si="4"/>
        <v>6</v>
      </c>
      <c r="B16" s="201" t="s">
        <v>601</v>
      </c>
      <c r="C16" s="317">
        <v>6856</v>
      </c>
      <c r="D16" s="317">
        <v>0</v>
      </c>
      <c r="E16" s="317">
        <v>0</v>
      </c>
      <c r="F16" s="317">
        <v>0</v>
      </c>
      <c r="G16" s="317">
        <f t="shared" si="0"/>
        <v>6856</v>
      </c>
      <c r="H16" s="318">
        <v>225</v>
      </c>
      <c r="I16" s="319">
        <f t="shared" si="1"/>
        <v>231.39</v>
      </c>
      <c r="J16" s="319">
        <f t="shared" si="2"/>
        <v>231.39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19">
        <v>0</v>
      </c>
      <c r="S16" s="407">
        <v>111.3</v>
      </c>
      <c r="T16" s="478">
        <f t="shared" si="3"/>
        <v>2.5753706999999997</v>
      </c>
    </row>
    <row r="17" spans="1:20" s="344" customFormat="1" ht="12.75">
      <c r="A17" s="201">
        <f t="shared" si="4"/>
        <v>7</v>
      </c>
      <c r="B17" s="201" t="s">
        <v>602</v>
      </c>
      <c r="C17" s="317">
        <v>16952</v>
      </c>
      <c r="D17" s="317">
        <v>122</v>
      </c>
      <c r="E17" s="317">
        <v>0</v>
      </c>
      <c r="F17" s="317">
        <v>191</v>
      </c>
      <c r="G17" s="317">
        <f t="shared" si="0"/>
        <v>17265</v>
      </c>
      <c r="H17" s="318">
        <v>225</v>
      </c>
      <c r="I17" s="319">
        <f t="shared" si="1"/>
        <v>582.6937499999999</v>
      </c>
      <c r="J17" s="319">
        <f t="shared" si="2"/>
        <v>582.6937499999999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319">
        <v>0</v>
      </c>
      <c r="R17" s="319">
        <v>0</v>
      </c>
      <c r="S17" s="407">
        <v>111.3</v>
      </c>
      <c r="T17" s="478">
        <f t="shared" si="3"/>
        <v>6.485381437499999</v>
      </c>
    </row>
    <row r="18" spans="1:20" s="344" customFormat="1" ht="12.75">
      <c r="A18" s="201">
        <f t="shared" si="4"/>
        <v>8</v>
      </c>
      <c r="B18" s="201" t="s">
        <v>603</v>
      </c>
      <c r="C18" s="317">
        <v>24512</v>
      </c>
      <c r="D18" s="317">
        <v>173</v>
      </c>
      <c r="E18" s="317">
        <v>0</v>
      </c>
      <c r="F18" s="317">
        <v>0</v>
      </c>
      <c r="G18" s="317">
        <f t="shared" si="0"/>
        <v>24685</v>
      </c>
      <c r="H18" s="318">
        <v>225</v>
      </c>
      <c r="I18" s="319">
        <f t="shared" si="1"/>
        <v>833.11875</v>
      </c>
      <c r="J18" s="319">
        <f t="shared" si="2"/>
        <v>833.11875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319">
        <v>0</v>
      </c>
      <c r="R18" s="319">
        <v>0</v>
      </c>
      <c r="S18" s="407">
        <v>111.3</v>
      </c>
      <c r="T18" s="478">
        <f t="shared" si="3"/>
        <v>9.2726116875</v>
      </c>
    </row>
    <row r="19" spans="1:20" s="344" customFormat="1" ht="12.75">
      <c r="A19" s="201">
        <f t="shared" si="4"/>
        <v>9</v>
      </c>
      <c r="B19" s="201" t="s">
        <v>604</v>
      </c>
      <c r="C19" s="317">
        <v>14235</v>
      </c>
      <c r="D19" s="317">
        <v>664</v>
      </c>
      <c r="E19" s="317">
        <v>0</v>
      </c>
      <c r="F19" s="317">
        <v>25</v>
      </c>
      <c r="G19" s="317">
        <f t="shared" si="0"/>
        <v>14924</v>
      </c>
      <c r="H19" s="318">
        <v>225</v>
      </c>
      <c r="I19" s="319">
        <f t="shared" si="1"/>
        <v>503.68499999999995</v>
      </c>
      <c r="J19" s="319">
        <f t="shared" si="2"/>
        <v>503.68499999999995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19">
        <v>0</v>
      </c>
      <c r="S19" s="407">
        <v>111.3</v>
      </c>
      <c r="T19" s="478">
        <f t="shared" si="3"/>
        <v>5.606014049999999</v>
      </c>
    </row>
    <row r="20" spans="1:20" s="344" customFormat="1" ht="12.75">
      <c r="A20" s="201">
        <f t="shared" si="4"/>
        <v>10</v>
      </c>
      <c r="B20" s="201" t="s">
        <v>605</v>
      </c>
      <c r="C20" s="317">
        <v>24136</v>
      </c>
      <c r="D20" s="317">
        <v>1018</v>
      </c>
      <c r="E20" s="317">
        <v>0</v>
      </c>
      <c r="F20" s="317">
        <v>0</v>
      </c>
      <c r="G20" s="317">
        <f t="shared" si="0"/>
        <v>25154</v>
      </c>
      <c r="H20" s="318">
        <v>225</v>
      </c>
      <c r="I20" s="319">
        <f t="shared" si="1"/>
        <v>848.9474999999999</v>
      </c>
      <c r="J20" s="319">
        <f t="shared" si="2"/>
        <v>848.9474999999999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19">
        <v>0</v>
      </c>
      <c r="S20" s="407">
        <v>111.3</v>
      </c>
      <c r="T20" s="478">
        <f t="shared" si="3"/>
        <v>9.448785674999998</v>
      </c>
    </row>
    <row r="21" spans="1:20" s="344" customFormat="1" ht="12.75">
      <c r="A21" s="201">
        <f t="shared" si="4"/>
        <v>11</v>
      </c>
      <c r="B21" s="201" t="s">
        <v>635</v>
      </c>
      <c r="C21" s="317">
        <v>10584</v>
      </c>
      <c r="D21" s="317">
        <v>393</v>
      </c>
      <c r="E21" s="317">
        <v>0</v>
      </c>
      <c r="F21" s="317">
        <v>39</v>
      </c>
      <c r="G21" s="317">
        <f t="shared" si="0"/>
        <v>11016</v>
      </c>
      <c r="H21" s="318">
        <v>225</v>
      </c>
      <c r="I21" s="319">
        <f t="shared" si="1"/>
        <v>371.78999999999996</v>
      </c>
      <c r="J21" s="319">
        <f t="shared" si="2"/>
        <v>371.78999999999996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19">
        <v>0</v>
      </c>
      <c r="S21" s="407">
        <v>111.3</v>
      </c>
      <c r="T21" s="478">
        <f t="shared" si="3"/>
        <v>4.1380227</v>
      </c>
    </row>
    <row r="22" spans="1:20" s="344" customFormat="1" ht="12.75">
      <c r="A22" s="201">
        <f t="shared" si="4"/>
        <v>12</v>
      </c>
      <c r="B22" s="201" t="s">
        <v>606</v>
      </c>
      <c r="C22" s="317">
        <v>14032</v>
      </c>
      <c r="D22" s="317">
        <v>47</v>
      </c>
      <c r="E22" s="317">
        <v>0</v>
      </c>
      <c r="F22" s="317">
        <v>26</v>
      </c>
      <c r="G22" s="317">
        <f t="shared" si="0"/>
        <v>14105</v>
      </c>
      <c r="H22" s="318">
        <v>225</v>
      </c>
      <c r="I22" s="319">
        <f t="shared" si="1"/>
        <v>476.04374999999993</v>
      </c>
      <c r="J22" s="319">
        <f t="shared" si="2"/>
        <v>476.04374999999993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319">
        <v>0</v>
      </c>
      <c r="R22" s="319">
        <v>0</v>
      </c>
      <c r="S22" s="407">
        <v>111.3</v>
      </c>
      <c r="T22" s="478">
        <f t="shared" si="3"/>
        <v>5.2983669375</v>
      </c>
    </row>
    <row r="23" spans="1:20" s="344" customFormat="1" ht="12.75">
      <c r="A23" s="201">
        <f t="shared" si="4"/>
        <v>13</v>
      </c>
      <c r="B23" s="201" t="s">
        <v>607</v>
      </c>
      <c r="C23" s="317">
        <v>21789</v>
      </c>
      <c r="D23" s="317">
        <v>826</v>
      </c>
      <c r="E23" s="317">
        <v>0</v>
      </c>
      <c r="F23" s="317">
        <v>99</v>
      </c>
      <c r="G23" s="317">
        <v>25808</v>
      </c>
      <c r="H23" s="318">
        <v>225</v>
      </c>
      <c r="I23" s="319">
        <f t="shared" si="1"/>
        <v>871.0199999999999</v>
      </c>
      <c r="J23" s="319">
        <f t="shared" si="2"/>
        <v>871.0199999999999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407">
        <v>111.3</v>
      </c>
      <c r="T23" s="478">
        <f t="shared" si="3"/>
        <v>9.694452599999998</v>
      </c>
    </row>
    <row r="24" spans="1:20" s="344" customFormat="1" ht="12.75">
      <c r="A24" s="201">
        <f t="shared" si="4"/>
        <v>14</v>
      </c>
      <c r="B24" s="201" t="s">
        <v>636</v>
      </c>
      <c r="C24" s="317">
        <v>14865</v>
      </c>
      <c r="D24" s="317">
        <v>1254</v>
      </c>
      <c r="E24" s="317">
        <v>0</v>
      </c>
      <c r="F24" s="317">
        <v>0</v>
      </c>
      <c r="G24" s="317">
        <f t="shared" si="0"/>
        <v>16119</v>
      </c>
      <c r="H24" s="318">
        <v>225</v>
      </c>
      <c r="I24" s="319">
        <f t="shared" si="1"/>
        <v>544.0162499999999</v>
      </c>
      <c r="J24" s="319">
        <f t="shared" si="2"/>
        <v>544.0162499999999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319">
        <v>0</v>
      </c>
      <c r="R24" s="319">
        <v>0</v>
      </c>
      <c r="S24" s="407">
        <v>111.3</v>
      </c>
      <c r="T24" s="478">
        <f t="shared" si="3"/>
        <v>6.054900862499999</v>
      </c>
    </row>
    <row r="25" spans="1:20" s="344" customFormat="1" ht="12.75">
      <c r="A25" s="201">
        <f t="shared" si="4"/>
        <v>15</v>
      </c>
      <c r="B25" s="201" t="s">
        <v>608</v>
      </c>
      <c r="C25" s="317">
        <v>24565</v>
      </c>
      <c r="D25" s="317">
        <v>90</v>
      </c>
      <c r="E25" s="317">
        <v>0</v>
      </c>
      <c r="F25" s="317">
        <v>0</v>
      </c>
      <c r="G25" s="317">
        <f t="shared" si="0"/>
        <v>24655</v>
      </c>
      <c r="H25" s="318">
        <v>225</v>
      </c>
      <c r="I25" s="319">
        <f t="shared" si="1"/>
        <v>832.1062499999999</v>
      </c>
      <c r="J25" s="319">
        <f t="shared" si="2"/>
        <v>832.1062499999999</v>
      </c>
      <c r="K25" s="319">
        <v>0</v>
      </c>
      <c r="L25" s="319">
        <v>0</v>
      </c>
      <c r="M25" s="319">
        <v>0</v>
      </c>
      <c r="N25" s="319">
        <v>0</v>
      </c>
      <c r="O25" s="319">
        <v>0</v>
      </c>
      <c r="P25" s="319">
        <v>0</v>
      </c>
      <c r="Q25" s="319">
        <v>0</v>
      </c>
      <c r="R25" s="319">
        <v>0</v>
      </c>
      <c r="S25" s="407">
        <v>111.3</v>
      </c>
      <c r="T25" s="478">
        <f t="shared" si="3"/>
        <v>9.2613425625</v>
      </c>
    </row>
    <row r="26" spans="1:20" ht="12.75">
      <c r="A26" s="201">
        <f t="shared" si="4"/>
        <v>16</v>
      </c>
      <c r="B26" s="201" t="s">
        <v>609</v>
      </c>
      <c r="C26" s="308">
        <v>24732</v>
      </c>
      <c r="D26" s="308">
        <v>243</v>
      </c>
      <c r="E26" s="317">
        <v>0</v>
      </c>
      <c r="F26" s="308">
        <v>302</v>
      </c>
      <c r="G26" s="317">
        <f t="shared" si="0"/>
        <v>25277</v>
      </c>
      <c r="H26" s="318">
        <v>225</v>
      </c>
      <c r="I26" s="319">
        <f t="shared" si="1"/>
        <v>853.0987499999999</v>
      </c>
      <c r="J26" s="319">
        <f t="shared" si="2"/>
        <v>853.0987499999999</v>
      </c>
      <c r="K26" s="319">
        <v>0</v>
      </c>
      <c r="L26" s="319">
        <v>0</v>
      </c>
      <c r="M26" s="319">
        <v>0</v>
      </c>
      <c r="N26" s="319">
        <v>0</v>
      </c>
      <c r="O26" s="319">
        <v>0</v>
      </c>
      <c r="P26" s="319">
        <v>0</v>
      </c>
      <c r="Q26" s="319">
        <v>0</v>
      </c>
      <c r="R26" s="319">
        <v>0</v>
      </c>
      <c r="S26" s="407">
        <v>111.3</v>
      </c>
      <c r="T26" s="478">
        <f t="shared" si="3"/>
        <v>9.494989087499999</v>
      </c>
    </row>
    <row r="27" spans="1:20" ht="12.75">
      <c r="A27" s="201">
        <f t="shared" si="4"/>
        <v>17</v>
      </c>
      <c r="B27" s="269" t="s">
        <v>757</v>
      </c>
      <c r="C27" s="308">
        <v>4890</v>
      </c>
      <c r="D27" s="308">
        <v>0</v>
      </c>
      <c r="E27" s="317">
        <v>0</v>
      </c>
      <c r="F27" s="308">
        <v>0</v>
      </c>
      <c r="G27" s="317">
        <f t="shared" si="0"/>
        <v>4890</v>
      </c>
      <c r="H27" s="318">
        <v>225</v>
      </c>
      <c r="I27" s="319">
        <f t="shared" si="1"/>
        <v>165.0375</v>
      </c>
      <c r="J27" s="319">
        <f t="shared" si="2"/>
        <v>165.0375</v>
      </c>
      <c r="K27" s="319">
        <v>0</v>
      </c>
      <c r="L27" s="319">
        <v>0</v>
      </c>
      <c r="M27" s="319">
        <v>0</v>
      </c>
      <c r="N27" s="319">
        <v>0</v>
      </c>
      <c r="O27" s="319">
        <v>0</v>
      </c>
      <c r="P27" s="319">
        <v>0</v>
      </c>
      <c r="Q27" s="319">
        <v>0</v>
      </c>
      <c r="R27" s="319">
        <v>0</v>
      </c>
      <c r="S27" s="407">
        <v>111.3</v>
      </c>
      <c r="T27" s="478">
        <f t="shared" si="3"/>
        <v>1.836867375</v>
      </c>
    </row>
    <row r="28" spans="1:20" ht="12.75">
      <c r="A28" s="201">
        <f t="shared" si="4"/>
        <v>18</v>
      </c>
      <c r="B28" s="201" t="s">
        <v>610</v>
      </c>
      <c r="C28" s="308">
        <v>19878</v>
      </c>
      <c r="D28" s="308">
        <v>310</v>
      </c>
      <c r="E28" s="317">
        <v>0</v>
      </c>
      <c r="F28" s="308">
        <v>0</v>
      </c>
      <c r="G28" s="317">
        <f t="shared" si="0"/>
        <v>20188</v>
      </c>
      <c r="H28" s="318">
        <v>225</v>
      </c>
      <c r="I28" s="319">
        <f t="shared" si="1"/>
        <v>681.3449999999999</v>
      </c>
      <c r="J28" s="319">
        <f t="shared" si="2"/>
        <v>681.3449999999999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319">
        <v>0</v>
      </c>
      <c r="R28" s="319">
        <v>0</v>
      </c>
      <c r="S28" s="407">
        <v>111.3</v>
      </c>
      <c r="T28" s="478">
        <f t="shared" si="3"/>
        <v>7.583369849999999</v>
      </c>
    </row>
    <row r="29" spans="1:20" ht="12.75">
      <c r="A29" s="201">
        <f t="shared" si="4"/>
        <v>19</v>
      </c>
      <c r="B29" s="201" t="s">
        <v>611</v>
      </c>
      <c r="C29" s="308">
        <v>27879</v>
      </c>
      <c r="D29" s="308">
        <v>2352</v>
      </c>
      <c r="E29" s="317">
        <v>0</v>
      </c>
      <c r="F29" s="308">
        <v>75</v>
      </c>
      <c r="G29" s="317">
        <f t="shared" si="0"/>
        <v>30306</v>
      </c>
      <c r="H29" s="318">
        <v>225</v>
      </c>
      <c r="I29" s="319">
        <f t="shared" si="1"/>
        <v>1022.8274999999999</v>
      </c>
      <c r="J29" s="319">
        <f t="shared" si="2"/>
        <v>1022.8274999999999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  <c r="S29" s="407">
        <v>111.3</v>
      </c>
      <c r="T29" s="478">
        <f t="shared" si="3"/>
        <v>11.384070074999999</v>
      </c>
    </row>
    <row r="30" spans="1:20" ht="12.75">
      <c r="A30" s="201">
        <f t="shared" si="4"/>
        <v>20</v>
      </c>
      <c r="B30" s="269" t="s">
        <v>756</v>
      </c>
      <c r="C30" s="308">
        <v>16685</v>
      </c>
      <c r="D30" s="308">
        <v>283</v>
      </c>
      <c r="E30" s="317">
        <v>0</v>
      </c>
      <c r="F30" s="308">
        <v>54</v>
      </c>
      <c r="G30" s="317">
        <f t="shared" si="0"/>
        <v>17022</v>
      </c>
      <c r="H30" s="318">
        <v>225</v>
      </c>
      <c r="I30" s="319">
        <f t="shared" si="1"/>
        <v>574.4925</v>
      </c>
      <c r="J30" s="319">
        <f t="shared" si="2"/>
        <v>574.4925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407">
        <v>111.3</v>
      </c>
      <c r="T30" s="478">
        <f t="shared" si="3"/>
        <v>6.394101525</v>
      </c>
    </row>
    <row r="31" spans="1:20" ht="12.75">
      <c r="A31" s="201">
        <f t="shared" si="4"/>
        <v>21</v>
      </c>
      <c r="B31" s="201" t="s">
        <v>637</v>
      </c>
      <c r="C31" s="308">
        <v>13741</v>
      </c>
      <c r="D31" s="308">
        <v>135</v>
      </c>
      <c r="E31" s="317">
        <v>0</v>
      </c>
      <c r="F31" s="308">
        <v>375</v>
      </c>
      <c r="G31" s="317">
        <f t="shared" si="0"/>
        <v>14251</v>
      </c>
      <c r="H31" s="318">
        <v>225</v>
      </c>
      <c r="I31" s="319">
        <f t="shared" si="1"/>
        <v>480.97124999999994</v>
      </c>
      <c r="J31" s="319">
        <f t="shared" si="2"/>
        <v>480.97124999999994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319">
        <v>0</v>
      </c>
      <c r="R31" s="319">
        <v>0</v>
      </c>
      <c r="S31" s="407">
        <v>111.3</v>
      </c>
      <c r="T31" s="478">
        <f t="shared" si="3"/>
        <v>5.3532100125</v>
      </c>
    </row>
    <row r="32" spans="1:20" ht="12.75">
      <c r="A32" s="201">
        <f t="shared" si="4"/>
        <v>22</v>
      </c>
      <c r="B32" s="201" t="s">
        <v>612</v>
      </c>
      <c r="C32" s="308">
        <v>28491</v>
      </c>
      <c r="D32" s="308">
        <v>2456</v>
      </c>
      <c r="E32" s="317">
        <v>0</v>
      </c>
      <c r="F32" s="308">
        <v>0</v>
      </c>
      <c r="G32" s="317">
        <f t="shared" si="0"/>
        <v>30947</v>
      </c>
      <c r="H32" s="318">
        <v>225</v>
      </c>
      <c r="I32" s="319">
        <f t="shared" si="1"/>
        <v>1044.4612499999998</v>
      </c>
      <c r="J32" s="319">
        <f t="shared" si="2"/>
        <v>1044.4612499999998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319">
        <v>0</v>
      </c>
      <c r="R32" s="319">
        <v>0</v>
      </c>
      <c r="S32" s="407">
        <v>111.3</v>
      </c>
      <c r="T32" s="478">
        <f t="shared" si="3"/>
        <v>11.624853712499998</v>
      </c>
    </row>
    <row r="33" spans="1:20" ht="12.75">
      <c r="A33" s="201">
        <f t="shared" si="4"/>
        <v>23</v>
      </c>
      <c r="B33" s="201" t="s">
        <v>613</v>
      </c>
      <c r="C33" s="308">
        <v>11098</v>
      </c>
      <c r="D33" s="308">
        <v>311</v>
      </c>
      <c r="E33" s="317">
        <v>0</v>
      </c>
      <c r="F33" s="308">
        <v>56</v>
      </c>
      <c r="G33" s="317">
        <f t="shared" si="0"/>
        <v>11465</v>
      </c>
      <c r="H33" s="318">
        <v>225</v>
      </c>
      <c r="I33" s="319">
        <f t="shared" si="1"/>
        <v>386.94374999999997</v>
      </c>
      <c r="J33" s="319">
        <f t="shared" si="2"/>
        <v>386.94374999999997</v>
      </c>
      <c r="K33" s="319">
        <v>0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407">
        <v>111.3</v>
      </c>
      <c r="T33" s="478">
        <f t="shared" si="3"/>
        <v>4.3066839375</v>
      </c>
    </row>
    <row r="34" spans="1:20" ht="12.75">
      <c r="A34" s="201">
        <f t="shared" si="4"/>
        <v>24</v>
      </c>
      <c r="B34" s="201" t="s">
        <v>614</v>
      </c>
      <c r="C34" s="308">
        <v>9852</v>
      </c>
      <c r="D34" s="308">
        <v>59</v>
      </c>
      <c r="E34" s="317">
        <v>0</v>
      </c>
      <c r="F34" s="308">
        <v>0</v>
      </c>
      <c r="G34" s="317">
        <f t="shared" si="0"/>
        <v>9911</v>
      </c>
      <c r="H34" s="318">
        <v>225</v>
      </c>
      <c r="I34" s="319">
        <f t="shared" si="1"/>
        <v>334.49625</v>
      </c>
      <c r="J34" s="319">
        <f t="shared" si="2"/>
        <v>334.49625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0</v>
      </c>
      <c r="Q34" s="319">
        <v>0</v>
      </c>
      <c r="R34" s="319">
        <v>0</v>
      </c>
      <c r="S34" s="407">
        <v>111.3</v>
      </c>
      <c r="T34" s="478">
        <f t="shared" si="3"/>
        <v>3.7229432625</v>
      </c>
    </row>
    <row r="35" spans="1:20" ht="12.75">
      <c r="A35" s="201">
        <f t="shared" si="4"/>
        <v>25</v>
      </c>
      <c r="B35" s="201" t="s">
        <v>615</v>
      </c>
      <c r="C35" s="308">
        <v>44103</v>
      </c>
      <c r="D35" s="308">
        <v>717</v>
      </c>
      <c r="E35" s="317">
        <v>0</v>
      </c>
      <c r="F35" s="308">
        <v>437</v>
      </c>
      <c r="G35" s="317">
        <f t="shared" si="0"/>
        <v>45257</v>
      </c>
      <c r="H35" s="318">
        <v>225</v>
      </c>
      <c r="I35" s="319">
        <f t="shared" si="1"/>
        <v>1527.42375</v>
      </c>
      <c r="J35" s="319">
        <f t="shared" si="2"/>
        <v>1527.42375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319">
        <v>0</v>
      </c>
      <c r="R35" s="319">
        <v>0</v>
      </c>
      <c r="S35" s="407">
        <v>111.3</v>
      </c>
      <c r="T35" s="478">
        <f t="shared" si="3"/>
        <v>17.0002263375</v>
      </c>
    </row>
    <row r="36" spans="1:20" ht="12.75">
      <c r="A36" s="201">
        <f t="shared" si="4"/>
        <v>26</v>
      </c>
      <c r="B36" s="201" t="s">
        <v>616</v>
      </c>
      <c r="C36" s="308">
        <v>33284</v>
      </c>
      <c r="D36" s="308">
        <v>395</v>
      </c>
      <c r="E36" s="317">
        <v>0</v>
      </c>
      <c r="F36" s="308">
        <v>0</v>
      </c>
      <c r="G36" s="317">
        <f t="shared" si="0"/>
        <v>33679</v>
      </c>
      <c r="H36" s="318">
        <v>225</v>
      </c>
      <c r="I36" s="319">
        <f t="shared" si="1"/>
        <v>1136.66625</v>
      </c>
      <c r="J36" s="319">
        <f t="shared" si="2"/>
        <v>1136.66625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319">
        <v>0</v>
      </c>
      <c r="R36" s="319">
        <v>0</v>
      </c>
      <c r="S36" s="407">
        <v>111.3</v>
      </c>
      <c r="T36" s="478">
        <f t="shared" si="3"/>
        <v>12.6510953625</v>
      </c>
    </row>
    <row r="37" spans="1:20" ht="12.75">
      <c r="A37" s="201">
        <f t="shared" si="4"/>
        <v>27</v>
      </c>
      <c r="B37" s="201" t="s">
        <v>617</v>
      </c>
      <c r="C37" s="308">
        <v>25168</v>
      </c>
      <c r="D37" s="308">
        <v>83</v>
      </c>
      <c r="E37" s="317">
        <v>0</v>
      </c>
      <c r="F37" s="308">
        <v>60</v>
      </c>
      <c r="G37" s="317">
        <f t="shared" si="0"/>
        <v>25311</v>
      </c>
      <c r="H37" s="318">
        <v>225</v>
      </c>
      <c r="I37" s="319">
        <f t="shared" si="1"/>
        <v>854.2462499999999</v>
      </c>
      <c r="J37" s="319">
        <f t="shared" si="2"/>
        <v>854.2462499999999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407">
        <v>111.3</v>
      </c>
      <c r="T37" s="478">
        <f t="shared" si="3"/>
        <v>9.507760762499998</v>
      </c>
    </row>
    <row r="38" spans="1:20" ht="12.75">
      <c r="A38" s="201">
        <f t="shared" si="4"/>
        <v>28</v>
      </c>
      <c r="B38" s="201" t="s">
        <v>618</v>
      </c>
      <c r="C38" s="308">
        <v>17102</v>
      </c>
      <c r="D38" s="308">
        <v>934</v>
      </c>
      <c r="E38" s="317">
        <v>0</v>
      </c>
      <c r="F38" s="308">
        <v>68</v>
      </c>
      <c r="G38" s="317">
        <f t="shared" si="0"/>
        <v>18104</v>
      </c>
      <c r="H38" s="318">
        <v>225</v>
      </c>
      <c r="I38" s="319">
        <f t="shared" si="1"/>
        <v>611.01</v>
      </c>
      <c r="J38" s="319">
        <f t="shared" si="2"/>
        <v>611.01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407">
        <v>111.3</v>
      </c>
      <c r="T38" s="478">
        <f t="shared" si="3"/>
        <v>6.8005413</v>
      </c>
    </row>
    <row r="39" spans="1:20" ht="12.75">
      <c r="A39" s="201">
        <f t="shared" si="4"/>
        <v>29</v>
      </c>
      <c r="B39" s="201" t="s">
        <v>619</v>
      </c>
      <c r="C39" s="308">
        <v>26150</v>
      </c>
      <c r="D39" s="308">
        <v>1213</v>
      </c>
      <c r="E39" s="317">
        <v>0</v>
      </c>
      <c r="F39" s="308">
        <v>30</v>
      </c>
      <c r="G39" s="317">
        <f t="shared" si="0"/>
        <v>27393</v>
      </c>
      <c r="H39" s="318">
        <v>225</v>
      </c>
      <c r="I39" s="319">
        <f t="shared" si="1"/>
        <v>924.51375</v>
      </c>
      <c r="J39" s="319">
        <f t="shared" si="2"/>
        <v>924.51375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407">
        <v>111.3</v>
      </c>
      <c r="T39" s="478">
        <f t="shared" si="3"/>
        <v>10.2898380375</v>
      </c>
    </row>
    <row r="40" spans="1:20" ht="12.75">
      <c r="A40" s="201">
        <f t="shared" si="4"/>
        <v>30</v>
      </c>
      <c r="B40" s="143" t="s">
        <v>620</v>
      </c>
      <c r="C40" s="308">
        <v>14098</v>
      </c>
      <c r="D40" s="308">
        <v>16</v>
      </c>
      <c r="E40" s="317">
        <v>0</v>
      </c>
      <c r="F40" s="308">
        <v>0</v>
      </c>
      <c r="G40" s="317">
        <f t="shared" si="0"/>
        <v>14114</v>
      </c>
      <c r="H40" s="318">
        <v>225</v>
      </c>
      <c r="I40" s="319">
        <f t="shared" si="1"/>
        <v>476.34749999999997</v>
      </c>
      <c r="J40" s="319">
        <f t="shared" si="2"/>
        <v>476.34749999999997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407">
        <v>111.3</v>
      </c>
      <c r="T40" s="478">
        <f t="shared" si="3"/>
        <v>5.301747675</v>
      </c>
    </row>
    <row r="41" spans="1:20" ht="12.75">
      <c r="A41" s="201">
        <f t="shared" si="4"/>
        <v>31</v>
      </c>
      <c r="B41" s="143" t="s">
        <v>621</v>
      </c>
      <c r="C41" s="308">
        <v>10182</v>
      </c>
      <c r="D41" s="308">
        <v>36</v>
      </c>
      <c r="E41" s="317">
        <v>0</v>
      </c>
      <c r="F41" s="308">
        <v>0</v>
      </c>
      <c r="G41" s="317">
        <f t="shared" si="0"/>
        <v>10218</v>
      </c>
      <c r="H41" s="318">
        <v>225</v>
      </c>
      <c r="I41" s="319">
        <f t="shared" si="1"/>
        <v>344.85749999999996</v>
      </c>
      <c r="J41" s="319">
        <f t="shared" si="2"/>
        <v>344.85749999999996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407">
        <v>111.3</v>
      </c>
      <c r="T41" s="478">
        <f t="shared" si="3"/>
        <v>3.838263975</v>
      </c>
    </row>
    <row r="42" spans="1:20" ht="12.75">
      <c r="A42" s="201">
        <f t="shared" si="4"/>
        <v>32</v>
      </c>
      <c r="B42" s="143" t="s">
        <v>622</v>
      </c>
      <c r="C42" s="308">
        <v>12102</v>
      </c>
      <c r="D42" s="308">
        <v>1276</v>
      </c>
      <c r="E42" s="317">
        <v>0</v>
      </c>
      <c r="F42" s="308">
        <v>43</v>
      </c>
      <c r="G42" s="317">
        <f t="shared" si="0"/>
        <v>13421</v>
      </c>
      <c r="H42" s="318">
        <v>225</v>
      </c>
      <c r="I42" s="319">
        <f t="shared" si="1"/>
        <v>452.95874999999995</v>
      </c>
      <c r="J42" s="319">
        <f t="shared" si="2"/>
        <v>452.95874999999995</v>
      </c>
      <c r="K42" s="319">
        <v>0</v>
      </c>
      <c r="L42" s="319">
        <v>0</v>
      </c>
      <c r="M42" s="319">
        <v>0</v>
      </c>
      <c r="N42" s="319">
        <v>0</v>
      </c>
      <c r="O42" s="319">
        <v>0</v>
      </c>
      <c r="P42" s="319">
        <v>0</v>
      </c>
      <c r="Q42" s="319">
        <v>0</v>
      </c>
      <c r="R42" s="319">
        <v>0</v>
      </c>
      <c r="S42" s="407">
        <v>111.3</v>
      </c>
      <c r="T42" s="478">
        <f t="shared" si="3"/>
        <v>5.0414308875</v>
      </c>
    </row>
    <row r="43" spans="1:20" ht="12.75">
      <c r="A43" s="201">
        <f t="shared" si="4"/>
        <v>33</v>
      </c>
      <c r="B43" s="143" t="s">
        <v>623</v>
      </c>
      <c r="C43" s="308">
        <v>15548</v>
      </c>
      <c r="D43" s="308">
        <v>58</v>
      </c>
      <c r="E43" s="317">
        <v>0</v>
      </c>
      <c r="F43" s="308">
        <v>42</v>
      </c>
      <c r="G43" s="317">
        <f t="shared" si="0"/>
        <v>15648</v>
      </c>
      <c r="H43" s="318">
        <v>225</v>
      </c>
      <c r="I43" s="319">
        <f t="shared" si="1"/>
        <v>528.12</v>
      </c>
      <c r="J43" s="319">
        <f t="shared" si="2"/>
        <v>528.12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407">
        <v>111.3</v>
      </c>
      <c r="T43" s="478">
        <f t="shared" si="3"/>
        <v>5.877975600000001</v>
      </c>
    </row>
    <row r="44" spans="1:20" ht="12.75">
      <c r="A44" s="150"/>
      <c r="B44" s="150" t="s">
        <v>624</v>
      </c>
      <c r="C44" s="194">
        <f>SUM(C11:C43)</f>
        <v>618930</v>
      </c>
      <c r="D44" s="194">
        <f aca="true" t="shared" si="5" ref="D44:R44">SUM(D11:D43)</f>
        <v>29671</v>
      </c>
      <c r="E44" s="194">
        <f t="shared" si="5"/>
        <v>0</v>
      </c>
      <c r="F44" s="194">
        <f t="shared" si="5"/>
        <v>2305</v>
      </c>
      <c r="G44" s="194">
        <f t="shared" si="5"/>
        <v>654000</v>
      </c>
      <c r="H44" s="194">
        <v>225</v>
      </c>
      <c r="I44" s="320">
        <f t="shared" si="5"/>
        <v>22072.499999999993</v>
      </c>
      <c r="J44" s="320">
        <f t="shared" si="5"/>
        <v>22072.499999999993</v>
      </c>
      <c r="K44" s="320">
        <f t="shared" si="5"/>
        <v>0</v>
      </c>
      <c r="L44" s="320">
        <f t="shared" si="5"/>
        <v>0</v>
      </c>
      <c r="M44" s="320">
        <f t="shared" si="5"/>
        <v>0</v>
      </c>
      <c r="N44" s="320">
        <f t="shared" si="5"/>
        <v>0</v>
      </c>
      <c r="O44" s="320">
        <f t="shared" si="5"/>
        <v>0</v>
      </c>
      <c r="P44" s="320">
        <f t="shared" si="5"/>
        <v>0</v>
      </c>
      <c r="Q44" s="320">
        <f t="shared" si="5"/>
        <v>0</v>
      </c>
      <c r="R44" s="320">
        <f t="shared" si="5"/>
        <v>0</v>
      </c>
      <c r="S44" s="320">
        <f>SUM(S11:S43)</f>
        <v>3672.900000000002</v>
      </c>
      <c r="T44" s="320">
        <f>SUM(T11:T43)</f>
        <v>245.666925</v>
      </c>
    </row>
    <row r="45" spans="1:18" ht="12.75">
      <c r="A45" s="130"/>
      <c r="B45" s="130"/>
      <c r="C45" s="130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18" ht="12.75">
      <c r="A46" s="130"/>
      <c r="B46" s="130"/>
      <c r="C46" s="130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.75">
      <c r="A47" s="130"/>
      <c r="B47" s="130"/>
      <c r="C47" s="130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.75">
      <c r="A48" s="130"/>
      <c r="B48" s="130"/>
      <c r="I48" s="128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18" ht="12.75">
      <c r="A49" s="850"/>
      <c r="B49" s="850"/>
      <c r="C49" s="850"/>
      <c r="D49" s="850"/>
      <c r="E49" s="850"/>
      <c r="F49" s="850"/>
      <c r="G49" s="850"/>
      <c r="H49" s="850"/>
      <c r="I49" s="850"/>
      <c r="J49" s="850"/>
      <c r="K49" s="850"/>
      <c r="L49" s="850"/>
      <c r="M49" s="850"/>
      <c r="N49" s="850"/>
      <c r="O49" s="850"/>
      <c r="P49" s="850"/>
      <c r="Q49" s="850"/>
      <c r="R49" s="850"/>
    </row>
    <row r="50" spans="1:20" ht="14.25">
      <c r="A50" s="278"/>
      <c r="B50" s="278"/>
      <c r="C50" s="278"/>
      <c r="D50" s="278"/>
      <c r="E50" s="278"/>
      <c r="F50" s="278"/>
      <c r="G50" s="278"/>
      <c r="H50" s="278"/>
      <c r="M50" s="846" t="s">
        <v>860</v>
      </c>
      <c r="N50" s="846"/>
      <c r="O50" s="846"/>
      <c r="P50" s="846"/>
      <c r="Q50" s="846"/>
      <c r="R50" s="846"/>
      <c r="S50" s="846"/>
      <c r="T50" s="846"/>
    </row>
    <row r="51" spans="1:20" ht="14.25">
      <c r="A51" s="278"/>
      <c r="B51" s="278"/>
      <c r="C51" s="278"/>
      <c r="D51" s="278"/>
      <c r="E51" s="278"/>
      <c r="F51" s="278"/>
      <c r="G51" s="278"/>
      <c r="H51" s="278"/>
      <c r="M51" s="846" t="s">
        <v>653</v>
      </c>
      <c r="N51" s="846"/>
      <c r="O51" s="846"/>
      <c r="P51" s="846"/>
      <c r="Q51" s="846"/>
      <c r="R51" s="846"/>
      <c r="S51" s="846"/>
      <c r="T51" s="846"/>
    </row>
  </sheetData>
  <sheetProtection/>
  <mergeCells count="18">
    <mergeCell ref="S1:T1"/>
    <mergeCell ref="A8:A9"/>
    <mergeCell ref="B8:B9"/>
    <mergeCell ref="C8:G8"/>
    <mergeCell ref="H8:H9"/>
    <mergeCell ref="I8:L8"/>
    <mergeCell ref="M8:R8"/>
    <mergeCell ref="G1:I1"/>
    <mergeCell ref="A6:R6"/>
    <mergeCell ref="A7:B7"/>
    <mergeCell ref="M50:T50"/>
    <mergeCell ref="M51:T51"/>
    <mergeCell ref="L7:R7"/>
    <mergeCell ref="S8:T8"/>
    <mergeCell ref="A2:T2"/>
    <mergeCell ref="A3:T3"/>
    <mergeCell ref="A4:T5"/>
    <mergeCell ref="A49:R49"/>
  </mergeCells>
  <printOptions horizontalCentered="1"/>
  <pageMargins left="0.4" right="0.38" top="0.51" bottom="0" header="0.31496062992125984" footer="0.31496062992125984"/>
  <pageSetup fitToHeight="1" fitToWidth="1" horizontalDpi="600" verticalDpi="600" orientation="landscape" paperSize="9" scale="7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1"/>
  <sheetViews>
    <sheetView view="pageBreakPreview" zoomScaleNormal="70" zoomScaleSheetLayoutView="100" zoomScalePageLayoutView="0" workbookViewId="0" topLeftCell="A22">
      <selection activeCell="C45" sqref="C45"/>
    </sheetView>
  </sheetViews>
  <sheetFormatPr defaultColWidth="9.140625" defaultRowHeight="12.75"/>
  <cols>
    <col min="1" max="1" width="5.57421875" style="278" customWidth="1"/>
    <col min="2" max="2" width="18.28125" style="278" customWidth="1"/>
    <col min="3" max="3" width="10.28125" style="278" customWidth="1"/>
    <col min="4" max="4" width="12.8515625" style="278" customWidth="1"/>
    <col min="5" max="5" width="8.7109375" style="278" customWidth="1"/>
    <col min="6" max="7" width="8.00390625" style="278" customWidth="1"/>
    <col min="8" max="10" width="8.140625" style="278" customWidth="1"/>
    <col min="11" max="11" width="8.421875" style="278" customWidth="1"/>
    <col min="12" max="12" width="8.140625" style="278" customWidth="1"/>
    <col min="13" max="13" width="8.8515625" style="278" customWidth="1"/>
    <col min="14" max="14" width="8.140625" style="278" customWidth="1"/>
    <col min="15" max="16384" width="9.140625" style="278" customWidth="1"/>
  </cols>
  <sheetData>
    <row r="1" spans="1:14" ht="12.75" customHeight="1">
      <c r="A1" s="128"/>
      <c r="B1" s="128"/>
      <c r="C1" s="128"/>
      <c r="D1" s="847"/>
      <c r="E1" s="847"/>
      <c r="F1" s="128"/>
      <c r="G1" s="128"/>
      <c r="H1" s="128"/>
      <c r="I1" s="128"/>
      <c r="J1" s="128"/>
      <c r="K1" s="128"/>
      <c r="L1" s="128"/>
      <c r="M1" s="849" t="s">
        <v>533</v>
      </c>
      <c r="N1" s="849"/>
    </row>
    <row r="2" spans="1:16" ht="15.7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16" ht="18">
      <c r="A3" s="860" t="s">
        <v>695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</row>
    <row r="4" spans="1:16" ht="12.75" customHeight="1">
      <c r="A4" s="861" t="s">
        <v>737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</row>
    <row r="5" spans="1:16" s="343" customFormat="1" ht="7.5" customHeight="1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</row>
    <row r="6" spans="1:14" ht="12.7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14" ht="12.75">
      <c r="A7" s="855" t="s">
        <v>665</v>
      </c>
      <c r="B7" s="855"/>
      <c r="C7" s="128"/>
      <c r="D7" s="182"/>
      <c r="E7" s="128"/>
      <c r="F7" s="128"/>
      <c r="G7" s="128"/>
      <c r="H7" s="851"/>
      <c r="I7" s="851"/>
      <c r="J7" s="851"/>
      <c r="K7" s="851"/>
      <c r="L7" s="851"/>
      <c r="M7" s="851"/>
      <c r="N7" s="851"/>
    </row>
    <row r="8" spans="1:16" ht="30.75" customHeight="1">
      <c r="A8" s="769" t="s">
        <v>2</v>
      </c>
      <c r="B8" s="769" t="s">
        <v>3</v>
      </c>
      <c r="C8" s="866" t="s">
        <v>484</v>
      </c>
      <c r="D8" s="856" t="s">
        <v>80</v>
      </c>
      <c r="E8" s="852" t="s">
        <v>81</v>
      </c>
      <c r="F8" s="853"/>
      <c r="G8" s="853"/>
      <c r="H8" s="854"/>
      <c r="I8" s="769" t="s">
        <v>569</v>
      </c>
      <c r="J8" s="769"/>
      <c r="K8" s="769"/>
      <c r="L8" s="769"/>
      <c r="M8" s="769"/>
      <c r="N8" s="769"/>
      <c r="O8" s="858" t="s">
        <v>832</v>
      </c>
      <c r="P8" s="858"/>
    </row>
    <row r="9" spans="1:16" ht="44.25" customHeight="1">
      <c r="A9" s="769"/>
      <c r="B9" s="769"/>
      <c r="C9" s="867"/>
      <c r="D9" s="857"/>
      <c r="E9" s="178" t="s">
        <v>177</v>
      </c>
      <c r="F9" s="178" t="s">
        <v>110</v>
      </c>
      <c r="G9" s="178" t="s">
        <v>111</v>
      </c>
      <c r="H9" s="178" t="s">
        <v>432</v>
      </c>
      <c r="I9" s="178" t="s">
        <v>16</v>
      </c>
      <c r="J9" s="270" t="s">
        <v>660</v>
      </c>
      <c r="K9" s="270" t="s">
        <v>662</v>
      </c>
      <c r="L9" s="178" t="s">
        <v>572</v>
      </c>
      <c r="M9" s="178" t="s">
        <v>573</v>
      </c>
      <c r="N9" s="178" t="s">
        <v>574</v>
      </c>
      <c r="O9" s="426" t="s">
        <v>833</v>
      </c>
      <c r="P9" s="426" t="s">
        <v>834</v>
      </c>
    </row>
    <row r="10" spans="1:16" s="344" customFormat="1" ht="12.75">
      <c r="A10" s="178">
        <v>1</v>
      </c>
      <c r="B10" s="178">
        <v>2</v>
      </c>
      <c r="C10" s="178">
        <v>3</v>
      </c>
      <c r="D10" s="178">
        <v>8</v>
      </c>
      <c r="E10" s="178">
        <v>9</v>
      </c>
      <c r="F10" s="178">
        <v>10</v>
      </c>
      <c r="G10" s="178">
        <v>11</v>
      </c>
      <c r="H10" s="178">
        <v>12</v>
      </c>
      <c r="I10" s="178">
        <v>13</v>
      </c>
      <c r="J10" s="178">
        <v>14</v>
      </c>
      <c r="K10" s="178">
        <v>15</v>
      </c>
      <c r="L10" s="178">
        <v>16</v>
      </c>
      <c r="M10" s="178">
        <v>17</v>
      </c>
      <c r="N10" s="178">
        <v>18</v>
      </c>
      <c r="O10" s="471">
        <v>19</v>
      </c>
      <c r="P10" s="471">
        <v>20</v>
      </c>
    </row>
    <row r="11" spans="1:16" s="344" customFormat="1" ht="12.75">
      <c r="A11" s="201">
        <v>1</v>
      </c>
      <c r="B11" s="201" t="s">
        <v>633</v>
      </c>
      <c r="C11" s="317">
        <v>0</v>
      </c>
      <c r="D11" s="318">
        <v>285</v>
      </c>
      <c r="E11" s="319">
        <f>SUM(F11:H11)</f>
        <v>0</v>
      </c>
      <c r="F11" s="319">
        <f>C11*285*0.00015</f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407">
        <v>111.3</v>
      </c>
      <c r="P11" s="478">
        <f>F11*1113/100000</f>
        <v>0</v>
      </c>
    </row>
    <row r="12" spans="1:16" s="344" customFormat="1" ht="12.75">
      <c r="A12" s="201">
        <f>A11+1</f>
        <v>2</v>
      </c>
      <c r="B12" s="201" t="s">
        <v>598</v>
      </c>
      <c r="C12" s="317">
        <v>399</v>
      </c>
      <c r="D12" s="318">
        <v>285</v>
      </c>
      <c r="E12" s="319">
        <f aca="true" t="shared" si="0" ref="E12:E43">SUM(F12:H12)</f>
        <v>17.05725</v>
      </c>
      <c r="F12" s="319">
        <f aca="true" t="shared" si="1" ref="F12:F43">C12*285*0.00015</f>
        <v>17.05725</v>
      </c>
      <c r="G12" s="319">
        <v>0</v>
      </c>
      <c r="H12" s="319">
        <v>0</v>
      </c>
      <c r="I12" s="319">
        <v>0</v>
      </c>
      <c r="J12" s="319">
        <v>0</v>
      </c>
      <c r="K12" s="319">
        <v>0</v>
      </c>
      <c r="L12" s="319">
        <v>0</v>
      </c>
      <c r="M12" s="319">
        <v>0</v>
      </c>
      <c r="N12" s="319">
        <v>0</v>
      </c>
      <c r="O12" s="407">
        <v>111.3</v>
      </c>
      <c r="P12" s="478">
        <f aca="true" t="shared" si="2" ref="P12:P43">F12*1113/100000</f>
        <v>0.18984719249999998</v>
      </c>
    </row>
    <row r="13" spans="1:16" s="344" customFormat="1" ht="12.75">
      <c r="A13" s="201">
        <f aca="true" t="shared" si="3" ref="A13:A43">A12+1</f>
        <v>3</v>
      </c>
      <c r="B13" s="201" t="s">
        <v>634</v>
      </c>
      <c r="C13" s="317">
        <v>0</v>
      </c>
      <c r="D13" s="318">
        <v>285</v>
      </c>
      <c r="E13" s="319">
        <f t="shared" si="0"/>
        <v>0</v>
      </c>
      <c r="F13" s="319">
        <f t="shared" si="1"/>
        <v>0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  <c r="L13" s="319">
        <v>0</v>
      </c>
      <c r="M13" s="319">
        <v>0</v>
      </c>
      <c r="N13" s="319">
        <v>0</v>
      </c>
      <c r="O13" s="407">
        <v>111.3</v>
      </c>
      <c r="P13" s="478">
        <f t="shared" si="2"/>
        <v>0</v>
      </c>
    </row>
    <row r="14" spans="1:16" s="344" customFormat="1" ht="12.75">
      <c r="A14" s="201">
        <f t="shared" si="3"/>
        <v>4</v>
      </c>
      <c r="B14" s="201" t="s">
        <v>599</v>
      </c>
      <c r="C14" s="317">
        <v>0</v>
      </c>
      <c r="D14" s="318">
        <v>285</v>
      </c>
      <c r="E14" s="319">
        <f t="shared" si="0"/>
        <v>0</v>
      </c>
      <c r="F14" s="319">
        <f t="shared" si="1"/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0</v>
      </c>
      <c r="O14" s="407">
        <v>111.3</v>
      </c>
      <c r="P14" s="478">
        <f t="shared" si="2"/>
        <v>0</v>
      </c>
    </row>
    <row r="15" spans="1:16" s="344" customFormat="1" ht="12.75">
      <c r="A15" s="201">
        <f t="shared" si="3"/>
        <v>5</v>
      </c>
      <c r="B15" s="201" t="s">
        <v>600</v>
      </c>
      <c r="C15" s="317">
        <v>0</v>
      </c>
      <c r="D15" s="318">
        <v>285</v>
      </c>
      <c r="E15" s="319">
        <f t="shared" si="0"/>
        <v>0</v>
      </c>
      <c r="F15" s="319">
        <f t="shared" si="1"/>
        <v>0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319">
        <v>0</v>
      </c>
      <c r="O15" s="407">
        <v>111.3</v>
      </c>
      <c r="P15" s="478">
        <f t="shared" si="2"/>
        <v>0</v>
      </c>
    </row>
    <row r="16" spans="1:16" s="344" customFormat="1" ht="12.75">
      <c r="A16" s="201">
        <f t="shared" si="3"/>
        <v>6</v>
      </c>
      <c r="B16" s="201" t="s">
        <v>601</v>
      </c>
      <c r="C16" s="317">
        <v>0</v>
      </c>
      <c r="D16" s="318">
        <v>285</v>
      </c>
      <c r="E16" s="319">
        <f t="shared" si="0"/>
        <v>0</v>
      </c>
      <c r="F16" s="319">
        <f t="shared" si="1"/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407">
        <v>111.3</v>
      </c>
      <c r="P16" s="478">
        <f t="shared" si="2"/>
        <v>0</v>
      </c>
    </row>
    <row r="17" spans="1:16" s="344" customFormat="1" ht="12.75">
      <c r="A17" s="201">
        <f t="shared" si="3"/>
        <v>7</v>
      </c>
      <c r="B17" s="201" t="s">
        <v>602</v>
      </c>
      <c r="C17" s="317">
        <v>0</v>
      </c>
      <c r="D17" s="318">
        <v>285</v>
      </c>
      <c r="E17" s="319">
        <f t="shared" si="0"/>
        <v>0</v>
      </c>
      <c r="F17" s="319">
        <f t="shared" si="1"/>
        <v>0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  <c r="L17" s="319">
        <v>0</v>
      </c>
      <c r="M17" s="319">
        <v>0</v>
      </c>
      <c r="N17" s="319">
        <v>0</v>
      </c>
      <c r="O17" s="407">
        <v>111.3</v>
      </c>
      <c r="P17" s="478">
        <f t="shared" si="2"/>
        <v>0</v>
      </c>
    </row>
    <row r="18" spans="1:16" s="344" customFormat="1" ht="12.75">
      <c r="A18" s="201">
        <f t="shared" si="3"/>
        <v>8</v>
      </c>
      <c r="B18" s="201" t="s">
        <v>603</v>
      </c>
      <c r="C18" s="317">
        <v>209</v>
      </c>
      <c r="D18" s="318">
        <v>285</v>
      </c>
      <c r="E18" s="319">
        <f t="shared" si="0"/>
        <v>8.93475</v>
      </c>
      <c r="F18" s="319">
        <f t="shared" si="1"/>
        <v>8.93475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407">
        <v>111.3</v>
      </c>
      <c r="P18" s="478">
        <f t="shared" si="2"/>
        <v>0.09944376749999999</v>
      </c>
    </row>
    <row r="19" spans="1:16" s="344" customFormat="1" ht="12.75">
      <c r="A19" s="201">
        <f t="shared" si="3"/>
        <v>9</v>
      </c>
      <c r="B19" s="201" t="s">
        <v>604</v>
      </c>
      <c r="C19" s="317">
        <v>0</v>
      </c>
      <c r="D19" s="318">
        <v>285</v>
      </c>
      <c r="E19" s="319">
        <f t="shared" si="0"/>
        <v>0</v>
      </c>
      <c r="F19" s="319">
        <f t="shared" si="1"/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407">
        <v>111.3</v>
      </c>
      <c r="P19" s="478">
        <f t="shared" si="2"/>
        <v>0</v>
      </c>
    </row>
    <row r="20" spans="1:16" s="344" customFormat="1" ht="12.75">
      <c r="A20" s="201">
        <f t="shared" si="3"/>
        <v>10</v>
      </c>
      <c r="B20" s="201" t="s">
        <v>605</v>
      </c>
      <c r="C20" s="317">
        <v>205</v>
      </c>
      <c r="D20" s="318">
        <v>285</v>
      </c>
      <c r="E20" s="319">
        <f t="shared" si="0"/>
        <v>8.76375</v>
      </c>
      <c r="F20" s="319">
        <f t="shared" si="1"/>
        <v>8.76375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407">
        <v>111.3</v>
      </c>
      <c r="P20" s="478">
        <f t="shared" si="2"/>
        <v>0.0975405375</v>
      </c>
    </row>
    <row r="21" spans="1:16" s="344" customFormat="1" ht="12.75">
      <c r="A21" s="201">
        <f t="shared" si="3"/>
        <v>11</v>
      </c>
      <c r="B21" s="201" t="s">
        <v>635</v>
      </c>
      <c r="C21" s="317">
        <v>0</v>
      </c>
      <c r="D21" s="318">
        <v>285</v>
      </c>
      <c r="E21" s="319">
        <f t="shared" si="0"/>
        <v>0</v>
      </c>
      <c r="F21" s="319">
        <f t="shared" si="1"/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407">
        <v>111.3</v>
      </c>
      <c r="P21" s="478">
        <f t="shared" si="2"/>
        <v>0</v>
      </c>
    </row>
    <row r="22" spans="1:16" s="344" customFormat="1" ht="12.75">
      <c r="A22" s="201">
        <f t="shared" si="3"/>
        <v>12</v>
      </c>
      <c r="B22" s="201" t="s">
        <v>606</v>
      </c>
      <c r="C22" s="317">
        <v>185</v>
      </c>
      <c r="D22" s="318">
        <v>285</v>
      </c>
      <c r="E22" s="319">
        <f t="shared" si="0"/>
        <v>7.9087499999999995</v>
      </c>
      <c r="F22" s="319">
        <f t="shared" si="1"/>
        <v>7.9087499999999995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407">
        <v>111.3</v>
      </c>
      <c r="P22" s="478">
        <f t="shared" si="2"/>
        <v>0.0880243875</v>
      </c>
    </row>
    <row r="23" spans="1:16" s="344" customFormat="1" ht="12.75">
      <c r="A23" s="201">
        <f t="shared" si="3"/>
        <v>13</v>
      </c>
      <c r="B23" s="201" t="s">
        <v>607</v>
      </c>
      <c r="C23" s="317">
        <v>355</v>
      </c>
      <c r="D23" s="318">
        <v>285</v>
      </c>
      <c r="E23" s="319">
        <f t="shared" si="0"/>
        <v>15.176249999999998</v>
      </c>
      <c r="F23" s="319">
        <f t="shared" si="1"/>
        <v>15.176249999999998</v>
      </c>
      <c r="G23" s="319">
        <v>0</v>
      </c>
      <c r="H23" s="319">
        <v>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407">
        <v>111.3</v>
      </c>
      <c r="P23" s="478">
        <f t="shared" si="2"/>
        <v>0.16891166249999998</v>
      </c>
    </row>
    <row r="24" spans="1:16" s="344" customFormat="1" ht="12.75">
      <c r="A24" s="201">
        <f t="shared" si="3"/>
        <v>14</v>
      </c>
      <c r="B24" s="201" t="s">
        <v>636</v>
      </c>
      <c r="C24" s="317">
        <v>0</v>
      </c>
      <c r="D24" s="318">
        <v>285</v>
      </c>
      <c r="E24" s="319">
        <f t="shared" si="0"/>
        <v>0</v>
      </c>
      <c r="F24" s="319">
        <f t="shared" si="1"/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407">
        <v>111.3</v>
      </c>
      <c r="P24" s="478">
        <f t="shared" si="2"/>
        <v>0</v>
      </c>
    </row>
    <row r="25" spans="1:16" s="344" customFormat="1" ht="12.75">
      <c r="A25" s="201">
        <f t="shared" si="3"/>
        <v>15</v>
      </c>
      <c r="B25" s="201" t="s">
        <v>608</v>
      </c>
      <c r="C25" s="317">
        <v>0</v>
      </c>
      <c r="D25" s="318">
        <v>285</v>
      </c>
      <c r="E25" s="319">
        <f t="shared" si="0"/>
        <v>0</v>
      </c>
      <c r="F25" s="319">
        <f t="shared" si="1"/>
        <v>0</v>
      </c>
      <c r="G25" s="319">
        <v>0</v>
      </c>
      <c r="H25" s="319">
        <v>0</v>
      </c>
      <c r="I25" s="319">
        <v>0</v>
      </c>
      <c r="J25" s="319">
        <v>0</v>
      </c>
      <c r="K25" s="319">
        <v>0</v>
      </c>
      <c r="L25" s="319">
        <v>0</v>
      </c>
      <c r="M25" s="319">
        <v>0</v>
      </c>
      <c r="N25" s="319">
        <v>0</v>
      </c>
      <c r="O25" s="407">
        <v>111.3</v>
      </c>
      <c r="P25" s="478">
        <f t="shared" si="2"/>
        <v>0</v>
      </c>
    </row>
    <row r="26" spans="1:16" ht="12.75">
      <c r="A26" s="201">
        <f t="shared" si="3"/>
        <v>16</v>
      </c>
      <c r="B26" s="201" t="s">
        <v>609</v>
      </c>
      <c r="C26" s="317">
        <v>0</v>
      </c>
      <c r="D26" s="318">
        <v>285</v>
      </c>
      <c r="E26" s="319">
        <f t="shared" si="0"/>
        <v>0</v>
      </c>
      <c r="F26" s="319">
        <f t="shared" si="1"/>
        <v>0</v>
      </c>
      <c r="G26" s="319">
        <v>0</v>
      </c>
      <c r="H26" s="319">
        <v>0</v>
      </c>
      <c r="I26" s="319">
        <v>0</v>
      </c>
      <c r="J26" s="319">
        <v>0</v>
      </c>
      <c r="K26" s="319">
        <v>0</v>
      </c>
      <c r="L26" s="319">
        <v>0</v>
      </c>
      <c r="M26" s="319">
        <v>0</v>
      </c>
      <c r="N26" s="319">
        <v>0</v>
      </c>
      <c r="O26" s="407">
        <v>111.3</v>
      </c>
      <c r="P26" s="478">
        <f t="shared" si="2"/>
        <v>0</v>
      </c>
    </row>
    <row r="27" spans="1:16" ht="12.75">
      <c r="A27" s="201">
        <f t="shared" si="3"/>
        <v>17</v>
      </c>
      <c r="B27" s="269" t="s">
        <v>757</v>
      </c>
      <c r="C27" s="317">
        <v>38</v>
      </c>
      <c r="D27" s="318">
        <v>285</v>
      </c>
      <c r="E27" s="319">
        <f t="shared" si="0"/>
        <v>1.6244999999999998</v>
      </c>
      <c r="F27" s="319">
        <f t="shared" si="1"/>
        <v>1.6244999999999998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319">
        <v>0</v>
      </c>
      <c r="O27" s="407">
        <v>111.3</v>
      </c>
      <c r="P27" s="478">
        <f t="shared" si="2"/>
        <v>0.018080685</v>
      </c>
    </row>
    <row r="28" spans="1:16" ht="12.75">
      <c r="A28" s="201">
        <f t="shared" si="3"/>
        <v>18</v>
      </c>
      <c r="B28" s="201" t="s">
        <v>610</v>
      </c>
      <c r="C28" s="317">
        <v>25</v>
      </c>
      <c r="D28" s="318">
        <v>285</v>
      </c>
      <c r="E28" s="319">
        <f t="shared" si="0"/>
        <v>1.0687499999999999</v>
      </c>
      <c r="F28" s="319">
        <f t="shared" si="1"/>
        <v>1.0687499999999999</v>
      </c>
      <c r="G28" s="319">
        <v>0</v>
      </c>
      <c r="H28" s="319">
        <v>0</v>
      </c>
      <c r="I28" s="319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407">
        <v>111.3</v>
      </c>
      <c r="P28" s="478">
        <f t="shared" si="2"/>
        <v>0.0118951875</v>
      </c>
    </row>
    <row r="29" spans="1:16" ht="12.75">
      <c r="A29" s="201">
        <f t="shared" si="3"/>
        <v>19</v>
      </c>
      <c r="B29" s="201" t="s">
        <v>611</v>
      </c>
      <c r="C29" s="317">
        <v>0</v>
      </c>
      <c r="D29" s="318">
        <v>285</v>
      </c>
      <c r="E29" s="319">
        <f t="shared" si="0"/>
        <v>0</v>
      </c>
      <c r="F29" s="319">
        <f t="shared" si="1"/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407">
        <v>111.3</v>
      </c>
      <c r="P29" s="478">
        <f t="shared" si="2"/>
        <v>0</v>
      </c>
    </row>
    <row r="30" spans="1:16" ht="12.75">
      <c r="A30" s="201">
        <f t="shared" si="3"/>
        <v>20</v>
      </c>
      <c r="B30" s="269" t="s">
        <v>756</v>
      </c>
      <c r="C30" s="317">
        <v>0</v>
      </c>
      <c r="D30" s="318">
        <v>285</v>
      </c>
      <c r="E30" s="319">
        <f t="shared" si="0"/>
        <v>0</v>
      </c>
      <c r="F30" s="319">
        <f t="shared" si="1"/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407">
        <v>111.3</v>
      </c>
      <c r="P30" s="478">
        <f t="shared" si="2"/>
        <v>0</v>
      </c>
    </row>
    <row r="31" spans="1:16" ht="12.75">
      <c r="A31" s="201">
        <f t="shared" si="3"/>
        <v>21</v>
      </c>
      <c r="B31" s="201" t="s">
        <v>637</v>
      </c>
      <c r="C31" s="317">
        <v>0</v>
      </c>
      <c r="D31" s="318">
        <v>285</v>
      </c>
      <c r="E31" s="319">
        <f t="shared" si="0"/>
        <v>0</v>
      </c>
      <c r="F31" s="319">
        <f t="shared" si="1"/>
        <v>0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407">
        <v>111.3</v>
      </c>
      <c r="P31" s="478">
        <f t="shared" si="2"/>
        <v>0</v>
      </c>
    </row>
    <row r="32" spans="1:16" ht="12.75">
      <c r="A32" s="201">
        <f t="shared" si="3"/>
        <v>22</v>
      </c>
      <c r="B32" s="201" t="s">
        <v>612</v>
      </c>
      <c r="C32" s="317">
        <v>349</v>
      </c>
      <c r="D32" s="318">
        <v>285</v>
      </c>
      <c r="E32" s="319">
        <f t="shared" si="0"/>
        <v>14.919749999999999</v>
      </c>
      <c r="F32" s="319">
        <f t="shared" si="1"/>
        <v>14.919749999999999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407">
        <v>111.3</v>
      </c>
      <c r="P32" s="478">
        <f t="shared" si="2"/>
        <v>0.1660568175</v>
      </c>
    </row>
    <row r="33" spans="1:16" ht="12.75">
      <c r="A33" s="201">
        <f t="shared" si="3"/>
        <v>23</v>
      </c>
      <c r="B33" s="201" t="s">
        <v>613</v>
      </c>
      <c r="C33" s="317">
        <v>0</v>
      </c>
      <c r="D33" s="318">
        <v>285</v>
      </c>
      <c r="E33" s="319">
        <f t="shared" si="0"/>
        <v>0</v>
      </c>
      <c r="F33" s="319">
        <f t="shared" si="1"/>
        <v>0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  <c r="L33" s="319">
        <v>0</v>
      </c>
      <c r="M33" s="319">
        <v>0</v>
      </c>
      <c r="N33" s="319">
        <v>0</v>
      </c>
      <c r="O33" s="407">
        <v>111.3</v>
      </c>
      <c r="P33" s="478">
        <f t="shared" si="2"/>
        <v>0</v>
      </c>
    </row>
    <row r="34" spans="1:16" ht="12.75">
      <c r="A34" s="201">
        <f t="shared" si="3"/>
        <v>24</v>
      </c>
      <c r="B34" s="201" t="s">
        <v>614</v>
      </c>
      <c r="C34" s="317">
        <v>0</v>
      </c>
      <c r="D34" s="318">
        <v>285</v>
      </c>
      <c r="E34" s="319">
        <f t="shared" si="0"/>
        <v>0</v>
      </c>
      <c r="F34" s="319">
        <f t="shared" si="1"/>
        <v>0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407">
        <v>111.3</v>
      </c>
      <c r="P34" s="478">
        <f t="shared" si="2"/>
        <v>0</v>
      </c>
    </row>
    <row r="35" spans="1:16" ht="12.75">
      <c r="A35" s="201">
        <f t="shared" si="3"/>
        <v>25</v>
      </c>
      <c r="B35" s="201" t="s">
        <v>615</v>
      </c>
      <c r="C35" s="317">
        <v>0</v>
      </c>
      <c r="D35" s="318">
        <v>285</v>
      </c>
      <c r="E35" s="319">
        <f t="shared" si="0"/>
        <v>0</v>
      </c>
      <c r="F35" s="319">
        <f t="shared" si="1"/>
        <v>0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407">
        <v>111.3</v>
      </c>
      <c r="P35" s="478">
        <f t="shared" si="2"/>
        <v>0</v>
      </c>
    </row>
    <row r="36" spans="1:16" ht="12.75">
      <c r="A36" s="201">
        <f t="shared" si="3"/>
        <v>26</v>
      </c>
      <c r="B36" s="201" t="s">
        <v>616</v>
      </c>
      <c r="C36" s="317">
        <v>0</v>
      </c>
      <c r="D36" s="318">
        <v>285</v>
      </c>
      <c r="E36" s="319">
        <f t="shared" si="0"/>
        <v>0</v>
      </c>
      <c r="F36" s="319">
        <f t="shared" si="1"/>
        <v>0</v>
      </c>
      <c r="G36" s="319">
        <v>0</v>
      </c>
      <c r="H36" s="319">
        <v>0</v>
      </c>
      <c r="I36" s="319">
        <v>0</v>
      </c>
      <c r="J36" s="319">
        <v>0</v>
      </c>
      <c r="K36" s="319">
        <v>0</v>
      </c>
      <c r="L36" s="319">
        <v>0</v>
      </c>
      <c r="M36" s="319">
        <v>0</v>
      </c>
      <c r="N36" s="319">
        <v>0</v>
      </c>
      <c r="O36" s="407">
        <v>111.3</v>
      </c>
      <c r="P36" s="478">
        <f t="shared" si="2"/>
        <v>0</v>
      </c>
    </row>
    <row r="37" spans="1:16" ht="12.75">
      <c r="A37" s="201">
        <f t="shared" si="3"/>
        <v>27</v>
      </c>
      <c r="B37" s="201" t="s">
        <v>617</v>
      </c>
      <c r="C37" s="317">
        <v>0</v>
      </c>
      <c r="D37" s="318">
        <v>285</v>
      </c>
      <c r="E37" s="319">
        <f t="shared" si="0"/>
        <v>0</v>
      </c>
      <c r="F37" s="319">
        <f t="shared" si="1"/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407">
        <v>111.3</v>
      </c>
      <c r="P37" s="478">
        <f t="shared" si="2"/>
        <v>0</v>
      </c>
    </row>
    <row r="38" spans="1:16" ht="12.75">
      <c r="A38" s="201">
        <f t="shared" si="3"/>
        <v>28</v>
      </c>
      <c r="B38" s="201" t="s">
        <v>618</v>
      </c>
      <c r="C38" s="317">
        <v>0</v>
      </c>
      <c r="D38" s="318">
        <v>285</v>
      </c>
      <c r="E38" s="319">
        <f t="shared" si="0"/>
        <v>0</v>
      </c>
      <c r="F38" s="319">
        <f t="shared" si="1"/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407">
        <v>111.3</v>
      </c>
      <c r="P38" s="478">
        <f t="shared" si="2"/>
        <v>0</v>
      </c>
    </row>
    <row r="39" spans="1:16" ht="12.75">
      <c r="A39" s="201">
        <f t="shared" si="3"/>
        <v>29</v>
      </c>
      <c r="B39" s="201" t="s">
        <v>619</v>
      </c>
      <c r="C39" s="317">
        <v>0</v>
      </c>
      <c r="D39" s="318">
        <v>285</v>
      </c>
      <c r="E39" s="319">
        <f t="shared" si="0"/>
        <v>0</v>
      </c>
      <c r="F39" s="319">
        <f t="shared" si="1"/>
        <v>0</v>
      </c>
      <c r="G39" s="319">
        <v>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407">
        <v>111.3</v>
      </c>
      <c r="P39" s="478">
        <f t="shared" si="2"/>
        <v>0</v>
      </c>
    </row>
    <row r="40" spans="1:16" ht="12.75">
      <c r="A40" s="201">
        <f t="shared" si="3"/>
        <v>30</v>
      </c>
      <c r="B40" s="143" t="s">
        <v>620</v>
      </c>
      <c r="C40" s="317">
        <v>0</v>
      </c>
      <c r="D40" s="318">
        <v>285</v>
      </c>
      <c r="E40" s="319">
        <f t="shared" si="0"/>
        <v>0</v>
      </c>
      <c r="F40" s="319">
        <f t="shared" si="1"/>
        <v>0</v>
      </c>
      <c r="G40" s="319">
        <v>0</v>
      </c>
      <c r="H40" s="319">
        <v>0</v>
      </c>
      <c r="I40" s="319">
        <v>0</v>
      </c>
      <c r="J40" s="319">
        <v>0</v>
      </c>
      <c r="K40" s="319">
        <v>0</v>
      </c>
      <c r="L40" s="319">
        <v>0</v>
      </c>
      <c r="M40" s="319">
        <v>0</v>
      </c>
      <c r="N40" s="319">
        <v>0</v>
      </c>
      <c r="O40" s="407">
        <v>111.3</v>
      </c>
      <c r="P40" s="478">
        <f t="shared" si="2"/>
        <v>0</v>
      </c>
    </row>
    <row r="41" spans="1:16" ht="12.75">
      <c r="A41" s="201">
        <f t="shared" si="3"/>
        <v>31</v>
      </c>
      <c r="B41" s="143" t="s">
        <v>621</v>
      </c>
      <c r="C41" s="317">
        <v>0</v>
      </c>
      <c r="D41" s="318">
        <v>285</v>
      </c>
      <c r="E41" s="319">
        <f t="shared" si="0"/>
        <v>0</v>
      </c>
      <c r="F41" s="319">
        <f t="shared" si="1"/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19">
        <v>0</v>
      </c>
      <c r="N41" s="319">
        <v>0</v>
      </c>
      <c r="O41" s="407">
        <v>111.3</v>
      </c>
      <c r="P41" s="478">
        <f t="shared" si="2"/>
        <v>0</v>
      </c>
    </row>
    <row r="42" spans="1:16" ht="12.75">
      <c r="A42" s="201">
        <f t="shared" si="3"/>
        <v>32</v>
      </c>
      <c r="B42" s="143" t="s">
        <v>622</v>
      </c>
      <c r="C42" s="317">
        <v>0</v>
      </c>
      <c r="D42" s="318">
        <v>285</v>
      </c>
      <c r="E42" s="319">
        <f t="shared" si="0"/>
        <v>0</v>
      </c>
      <c r="F42" s="319">
        <f t="shared" si="1"/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19">
        <v>0</v>
      </c>
      <c r="N42" s="319">
        <v>0</v>
      </c>
      <c r="O42" s="407">
        <v>111.3</v>
      </c>
      <c r="P42" s="478">
        <f t="shared" si="2"/>
        <v>0</v>
      </c>
    </row>
    <row r="43" spans="1:16" ht="12.75">
      <c r="A43" s="201">
        <f t="shared" si="3"/>
        <v>33</v>
      </c>
      <c r="B43" s="143" t="s">
        <v>623</v>
      </c>
      <c r="C43" s="317">
        <v>0</v>
      </c>
      <c r="D43" s="318">
        <v>285</v>
      </c>
      <c r="E43" s="319">
        <f t="shared" si="0"/>
        <v>0</v>
      </c>
      <c r="F43" s="319">
        <f t="shared" si="1"/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407">
        <v>111.3</v>
      </c>
      <c r="P43" s="478">
        <f t="shared" si="2"/>
        <v>0</v>
      </c>
    </row>
    <row r="44" spans="1:16" ht="12.75">
      <c r="A44" s="150"/>
      <c r="B44" s="150" t="s">
        <v>624</v>
      </c>
      <c r="C44" s="194">
        <f>SUM(C11:C43)</f>
        <v>1765</v>
      </c>
      <c r="D44" s="500">
        <v>285</v>
      </c>
      <c r="E44" s="320">
        <f aca="true" t="shared" si="4" ref="E44:N44">SUM(E11:E43)</f>
        <v>75.45374999999999</v>
      </c>
      <c r="F44" s="320">
        <f t="shared" si="4"/>
        <v>75.45374999999999</v>
      </c>
      <c r="G44" s="320">
        <f t="shared" si="4"/>
        <v>0</v>
      </c>
      <c r="H44" s="320">
        <f t="shared" si="4"/>
        <v>0</v>
      </c>
      <c r="I44" s="320">
        <f t="shared" si="4"/>
        <v>0</v>
      </c>
      <c r="J44" s="320">
        <f t="shared" si="4"/>
        <v>0</v>
      </c>
      <c r="K44" s="320">
        <f t="shared" si="4"/>
        <v>0</v>
      </c>
      <c r="L44" s="320">
        <f t="shared" si="4"/>
        <v>0</v>
      </c>
      <c r="M44" s="320">
        <f t="shared" si="4"/>
        <v>0</v>
      </c>
      <c r="N44" s="320">
        <f t="shared" si="4"/>
        <v>0</v>
      </c>
      <c r="O44" s="320">
        <v>111.3</v>
      </c>
      <c r="P44" s="320">
        <f>SUM(P11:P43)</f>
        <v>0.8398002375</v>
      </c>
    </row>
    <row r="45" spans="1:14" ht="12.75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2.75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30"/>
      <c r="B48" s="130"/>
      <c r="C48" s="128"/>
      <c r="D48" s="128"/>
      <c r="E48" s="128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4" ht="12.75">
      <c r="A49" s="128"/>
      <c r="B49" s="128"/>
      <c r="C49" s="128"/>
      <c r="D49" s="128"/>
    </row>
    <row r="50" spans="1:14" ht="14.25">
      <c r="A50" s="128"/>
      <c r="B50" s="128"/>
      <c r="C50" s="128"/>
      <c r="D50" s="128"/>
      <c r="I50" s="846" t="s">
        <v>860</v>
      </c>
      <c r="J50" s="846"/>
      <c r="K50" s="846"/>
      <c r="L50" s="846"/>
      <c r="M50" s="846"/>
      <c r="N50" s="846"/>
    </row>
    <row r="51" spans="1:14" ht="14.25">
      <c r="A51" s="128"/>
      <c r="B51" s="128"/>
      <c r="C51" s="128"/>
      <c r="D51" s="128"/>
      <c r="I51" s="846" t="s">
        <v>653</v>
      </c>
      <c r="J51" s="846"/>
      <c r="K51" s="846"/>
      <c r="L51" s="846"/>
      <c r="M51" s="846"/>
      <c r="N51" s="846"/>
    </row>
  </sheetData>
  <sheetProtection/>
  <mergeCells count="17">
    <mergeCell ref="D1:E1"/>
    <mergeCell ref="M1:N1"/>
    <mergeCell ref="I50:N50"/>
    <mergeCell ref="I51:N51"/>
    <mergeCell ref="C8:C9"/>
    <mergeCell ref="H7:N7"/>
    <mergeCell ref="D8:D9"/>
    <mergeCell ref="E8:H8"/>
    <mergeCell ref="I8:N8"/>
    <mergeCell ref="O8:P8"/>
    <mergeCell ref="A2:P2"/>
    <mergeCell ref="A3:P3"/>
    <mergeCell ref="A4:P5"/>
    <mergeCell ref="A6:N6"/>
    <mergeCell ref="A7:B7"/>
    <mergeCell ref="A8:A9"/>
    <mergeCell ref="B8:B9"/>
  </mergeCells>
  <printOptions horizontalCentered="1"/>
  <pageMargins left="0.42" right="0.34" top="0.47" bottom="0" header="0.31496062992125984" footer="0.31496062992125984"/>
  <pageSetup fitToHeight="1" fitToWidth="1" horizontalDpi="600" verticalDpi="600" orientation="landscape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1"/>
  <sheetViews>
    <sheetView view="pageBreakPreview" zoomScale="55" zoomScaleNormal="70" zoomScaleSheetLayoutView="55" zoomScalePageLayoutView="0" workbookViewId="0" topLeftCell="A13">
      <selection activeCell="C11" sqref="C11:P44"/>
    </sheetView>
  </sheetViews>
  <sheetFormatPr defaultColWidth="9.140625" defaultRowHeight="12.75"/>
  <cols>
    <col min="1" max="1" width="5.57421875" style="278" customWidth="1"/>
    <col min="2" max="2" width="19.28125" style="278" customWidth="1"/>
    <col min="3" max="3" width="10.28125" style="278" customWidth="1"/>
    <col min="4" max="4" width="12.8515625" style="278" customWidth="1"/>
    <col min="5" max="5" width="8.7109375" style="278" customWidth="1"/>
    <col min="6" max="7" width="8.00390625" style="278" customWidth="1"/>
    <col min="8" max="10" width="8.140625" style="278" customWidth="1"/>
    <col min="11" max="11" width="8.421875" style="278" customWidth="1"/>
    <col min="12" max="12" width="8.140625" style="278" customWidth="1"/>
    <col min="13" max="13" width="11.28125" style="278" customWidth="1"/>
    <col min="14" max="14" width="11.8515625" style="278" customWidth="1"/>
    <col min="15" max="16384" width="9.140625" style="278" customWidth="1"/>
  </cols>
  <sheetData>
    <row r="1" spans="1:16" ht="12.75" customHeight="1">
      <c r="A1" s="128"/>
      <c r="B1" s="128"/>
      <c r="C1" s="128"/>
      <c r="D1" s="847"/>
      <c r="E1" s="847"/>
      <c r="F1" s="128"/>
      <c r="G1" s="128"/>
      <c r="H1" s="128"/>
      <c r="I1" s="128"/>
      <c r="J1" s="128"/>
      <c r="K1" s="128"/>
      <c r="L1" s="128"/>
      <c r="O1" s="849" t="s">
        <v>575</v>
      </c>
      <c r="P1" s="849"/>
    </row>
    <row r="2" spans="1:16" ht="15.7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16" ht="18">
      <c r="A3" s="860" t="s">
        <v>695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</row>
    <row r="4" spans="1:16" ht="9.75" customHeight="1">
      <c r="A4" s="877" t="s">
        <v>738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</row>
    <row r="5" spans="1:16" s="343" customFormat="1" ht="18.75" customHeight="1">
      <c r="A5" s="877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</row>
    <row r="6" spans="1:14" ht="12.7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14" ht="12.75">
      <c r="A7" s="855" t="s">
        <v>665</v>
      </c>
      <c r="B7" s="855"/>
      <c r="C7" s="128"/>
      <c r="D7" s="182"/>
      <c r="E7" s="128"/>
      <c r="F7" s="128"/>
      <c r="G7" s="128"/>
      <c r="H7" s="851"/>
      <c r="I7" s="851"/>
      <c r="J7" s="851"/>
      <c r="K7" s="851"/>
      <c r="L7" s="851"/>
      <c r="M7" s="851"/>
      <c r="N7" s="851"/>
    </row>
    <row r="8" spans="1:16" ht="24.75" customHeight="1">
      <c r="A8" s="862" t="s">
        <v>2</v>
      </c>
      <c r="B8" s="862" t="s">
        <v>3</v>
      </c>
      <c r="C8" s="866" t="s">
        <v>484</v>
      </c>
      <c r="D8" s="856" t="s">
        <v>80</v>
      </c>
      <c r="E8" s="852" t="s">
        <v>81</v>
      </c>
      <c r="F8" s="853"/>
      <c r="G8" s="853"/>
      <c r="H8" s="854"/>
      <c r="I8" s="769" t="s">
        <v>569</v>
      </c>
      <c r="J8" s="769"/>
      <c r="K8" s="769"/>
      <c r="L8" s="769"/>
      <c r="M8" s="769"/>
      <c r="N8" s="769"/>
      <c r="O8" s="858" t="s">
        <v>832</v>
      </c>
      <c r="P8" s="858"/>
    </row>
    <row r="9" spans="1:16" ht="44.25" customHeight="1">
      <c r="A9" s="862"/>
      <c r="B9" s="862"/>
      <c r="C9" s="867"/>
      <c r="D9" s="857"/>
      <c r="E9" s="178" t="s">
        <v>177</v>
      </c>
      <c r="F9" s="178" t="s">
        <v>110</v>
      </c>
      <c r="G9" s="178" t="s">
        <v>111</v>
      </c>
      <c r="H9" s="178" t="s">
        <v>432</v>
      </c>
      <c r="I9" s="178" t="s">
        <v>16</v>
      </c>
      <c r="J9" s="178" t="s">
        <v>570</v>
      </c>
      <c r="K9" s="178" t="s">
        <v>571</v>
      </c>
      <c r="L9" s="178" t="s">
        <v>572</v>
      </c>
      <c r="M9" s="178" t="s">
        <v>573</v>
      </c>
      <c r="N9" s="178" t="s">
        <v>574</v>
      </c>
      <c r="O9" s="426" t="s">
        <v>833</v>
      </c>
      <c r="P9" s="426" t="s">
        <v>834</v>
      </c>
    </row>
    <row r="10" spans="1:16" s="344" customFormat="1" ht="12.75">
      <c r="A10" s="178">
        <v>1</v>
      </c>
      <c r="B10" s="178">
        <v>2</v>
      </c>
      <c r="C10" s="178">
        <v>3</v>
      </c>
      <c r="D10" s="178">
        <v>8</v>
      </c>
      <c r="E10" s="178">
        <v>9</v>
      </c>
      <c r="F10" s="178">
        <v>10</v>
      </c>
      <c r="G10" s="178">
        <v>11</v>
      </c>
      <c r="H10" s="178">
        <v>12</v>
      </c>
      <c r="I10" s="178">
        <v>13</v>
      </c>
      <c r="J10" s="178">
        <v>14</v>
      </c>
      <c r="K10" s="178">
        <v>15</v>
      </c>
      <c r="L10" s="178">
        <v>16</v>
      </c>
      <c r="M10" s="178">
        <v>17</v>
      </c>
      <c r="N10" s="178">
        <v>18</v>
      </c>
      <c r="O10" s="471">
        <v>19</v>
      </c>
      <c r="P10" s="471">
        <v>20</v>
      </c>
    </row>
    <row r="11" spans="1:16" s="344" customFormat="1" ht="12.75" customHeight="1">
      <c r="A11" s="201">
        <v>1</v>
      </c>
      <c r="B11" s="201" t="s">
        <v>633</v>
      </c>
      <c r="C11" s="868" t="s">
        <v>638</v>
      </c>
      <c r="D11" s="869"/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70"/>
    </row>
    <row r="12" spans="1:16" s="344" customFormat="1" ht="12.75" customHeight="1">
      <c r="A12" s="201">
        <f>A11+1</f>
        <v>2</v>
      </c>
      <c r="B12" s="201" t="s">
        <v>598</v>
      </c>
      <c r="C12" s="871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3"/>
    </row>
    <row r="13" spans="1:16" s="344" customFormat="1" ht="12.75" customHeight="1">
      <c r="A13" s="201">
        <f aca="true" t="shared" si="0" ref="A13:A43">A12+1</f>
        <v>3</v>
      </c>
      <c r="B13" s="201" t="s">
        <v>634</v>
      </c>
      <c r="C13" s="871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3"/>
    </row>
    <row r="14" spans="1:16" s="344" customFormat="1" ht="12.75" customHeight="1">
      <c r="A14" s="201">
        <f t="shared" si="0"/>
        <v>4</v>
      </c>
      <c r="B14" s="201" t="s">
        <v>599</v>
      </c>
      <c r="C14" s="871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3"/>
    </row>
    <row r="15" spans="1:16" s="344" customFormat="1" ht="12.75" customHeight="1">
      <c r="A15" s="201">
        <f t="shared" si="0"/>
        <v>5</v>
      </c>
      <c r="B15" s="201" t="s">
        <v>600</v>
      </c>
      <c r="C15" s="871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3"/>
    </row>
    <row r="16" spans="1:16" s="344" customFormat="1" ht="12.75" customHeight="1">
      <c r="A16" s="201">
        <f t="shared" si="0"/>
        <v>6</v>
      </c>
      <c r="B16" s="201" t="s">
        <v>601</v>
      </c>
      <c r="C16" s="871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3"/>
    </row>
    <row r="17" spans="1:16" s="344" customFormat="1" ht="12.75" customHeight="1">
      <c r="A17" s="201">
        <f t="shared" si="0"/>
        <v>7</v>
      </c>
      <c r="B17" s="201" t="s">
        <v>602</v>
      </c>
      <c r="C17" s="871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3"/>
    </row>
    <row r="18" spans="1:16" s="344" customFormat="1" ht="12.75" customHeight="1">
      <c r="A18" s="201">
        <f t="shared" si="0"/>
        <v>8</v>
      </c>
      <c r="B18" s="201" t="s">
        <v>603</v>
      </c>
      <c r="C18" s="871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3"/>
    </row>
    <row r="19" spans="1:16" s="344" customFormat="1" ht="12.75" customHeight="1">
      <c r="A19" s="201">
        <f t="shared" si="0"/>
        <v>9</v>
      </c>
      <c r="B19" s="201" t="s">
        <v>604</v>
      </c>
      <c r="C19" s="871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3"/>
    </row>
    <row r="20" spans="1:16" s="344" customFormat="1" ht="12.75" customHeight="1">
      <c r="A20" s="201">
        <f t="shared" si="0"/>
        <v>10</v>
      </c>
      <c r="B20" s="201" t="s">
        <v>605</v>
      </c>
      <c r="C20" s="871"/>
      <c r="D20" s="872"/>
      <c r="E20" s="872"/>
      <c r="F20" s="872"/>
      <c r="G20" s="872"/>
      <c r="H20" s="872"/>
      <c r="I20" s="872"/>
      <c r="J20" s="872"/>
      <c r="K20" s="872"/>
      <c r="L20" s="872"/>
      <c r="M20" s="872"/>
      <c r="N20" s="872"/>
      <c r="O20" s="872"/>
      <c r="P20" s="873"/>
    </row>
    <row r="21" spans="1:16" s="344" customFormat="1" ht="12.75" customHeight="1">
      <c r="A21" s="201">
        <f t="shared" si="0"/>
        <v>11</v>
      </c>
      <c r="B21" s="201" t="s">
        <v>635</v>
      </c>
      <c r="C21" s="871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3"/>
    </row>
    <row r="22" spans="1:16" s="344" customFormat="1" ht="12.75" customHeight="1">
      <c r="A22" s="201">
        <f t="shared" si="0"/>
        <v>12</v>
      </c>
      <c r="B22" s="201" t="s">
        <v>606</v>
      </c>
      <c r="C22" s="871"/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3"/>
    </row>
    <row r="23" spans="1:16" s="344" customFormat="1" ht="12.75" customHeight="1">
      <c r="A23" s="201">
        <f t="shared" si="0"/>
        <v>13</v>
      </c>
      <c r="B23" s="201" t="s">
        <v>607</v>
      </c>
      <c r="C23" s="871"/>
      <c r="D23" s="872"/>
      <c r="E23" s="872"/>
      <c r="F23" s="872"/>
      <c r="G23" s="872"/>
      <c r="H23" s="872"/>
      <c r="I23" s="872"/>
      <c r="J23" s="872"/>
      <c r="K23" s="872"/>
      <c r="L23" s="872"/>
      <c r="M23" s="872"/>
      <c r="N23" s="872"/>
      <c r="O23" s="872"/>
      <c r="P23" s="873"/>
    </row>
    <row r="24" spans="1:16" s="344" customFormat="1" ht="12.75" customHeight="1">
      <c r="A24" s="201">
        <f t="shared" si="0"/>
        <v>14</v>
      </c>
      <c r="B24" s="201" t="s">
        <v>636</v>
      </c>
      <c r="C24" s="871"/>
      <c r="D24" s="872"/>
      <c r="E24" s="872"/>
      <c r="F24" s="872"/>
      <c r="G24" s="872"/>
      <c r="H24" s="872"/>
      <c r="I24" s="872"/>
      <c r="J24" s="872"/>
      <c r="K24" s="872"/>
      <c r="L24" s="872"/>
      <c r="M24" s="872"/>
      <c r="N24" s="872"/>
      <c r="O24" s="872"/>
      <c r="P24" s="873"/>
    </row>
    <row r="25" spans="1:16" s="344" customFormat="1" ht="12.75" customHeight="1">
      <c r="A25" s="201">
        <f t="shared" si="0"/>
        <v>15</v>
      </c>
      <c r="B25" s="201" t="s">
        <v>608</v>
      </c>
      <c r="C25" s="871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3"/>
    </row>
    <row r="26" spans="1:16" ht="12.75" customHeight="1">
      <c r="A26" s="201">
        <f t="shared" si="0"/>
        <v>16</v>
      </c>
      <c r="B26" s="201" t="s">
        <v>609</v>
      </c>
      <c r="C26" s="871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3"/>
    </row>
    <row r="27" spans="1:16" ht="12.75" customHeight="1">
      <c r="A27" s="201">
        <f t="shared" si="0"/>
        <v>17</v>
      </c>
      <c r="B27" s="269" t="s">
        <v>757</v>
      </c>
      <c r="C27" s="871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3"/>
    </row>
    <row r="28" spans="1:16" ht="12.75" customHeight="1">
      <c r="A28" s="201">
        <f t="shared" si="0"/>
        <v>18</v>
      </c>
      <c r="B28" s="201" t="s">
        <v>610</v>
      </c>
      <c r="C28" s="871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3"/>
    </row>
    <row r="29" spans="1:16" ht="12.75" customHeight="1">
      <c r="A29" s="201">
        <f t="shared" si="0"/>
        <v>19</v>
      </c>
      <c r="B29" s="201" t="s">
        <v>611</v>
      </c>
      <c r="C29" s="871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2"/>
      <c r="P29" s="873"/>
    </row>
    <row r="30" spans="1:16" ht="12.75" customHeight="1">
      <c r="A30" s="201">
        <f t="shared" si="0"/>
        <v>20</v>
      </c>
      <c r="B30" s="269" t="s">
        <v>756</v>
      </c>
      <c r="C30" s="871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3"/>
    </row>
    <row r="31" spans="1:16" ht="12.75" customHeight="1">
      <c r="A31" s="201">
        <f t="shared" si="0"/>
        <v>21</v>
      </c>
      <c r="B31" s="201" t="s">
        <v>637</v>
      </c>
      <c r="C31" s="871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3"/>
    </row>
    <row r="32" spans="1:16" ht="12.75" customHeight="1">
      <c r="A32" s="201">
        <f t="shared" si="0"/>
        <v>22</v>
      </c>
      <c r="B32" s="201" t="s">
        <v>612</v>
      </c>
      <c r="C32" s="871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3"/>
    </row>
    <row r="33" spans="1:16" ht="12.75" customHeight="1">
      <c r="A33" s="201">
        <f t="shared" si="0"/>
        <v>23</v>
      </c>
      <c r="B33" s="201" t="s">
        <v>613</v>
      </c>
      <c r="C33" s="871"/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3"/>
    </row>
    <row r="34" spans="1:16" ht="12.75" customHeight="1">
      <c r="A34" s="201">
        <f t="shared" si="0"/>
        <v>24</v>
      </c>
      <c r="B34" s="201" t="s">
        <v>614</v>
      </c>
      <c r="C34" s="871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3"/>
    </row>
    <row r="35" spans="1:16" ht="12.75" customHeight="1">
      <c r="A35" s="201">
        <f t="shared" si="0"/>
        <v>25</v>
      </c>
      <c r="B35" s="201" t="s">
        <v>615</v>
      </c>
      <c r="C35" s="871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3"/>
    </row>
    <row r="36" spans="1:16" ht="12.75" customHeight="1">
      <c r="A36" s="201">
        <f t="shared" si="0"/>
        <v>26</v>
      </c>
      <c r="B36" s="201" t="s">
        <v>616</v>
      </c>
      <c r="C36" s="871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3"/>
    </row>
    <row r="37" spans="1:16" ht="12.75" customHeight="1">
      <c r="A37" s="201">
        <f t="shared" si="0"/>
        <v>27</v>
      </c>
      <c r="B37" s="201" t="s">
        <v>617</v>
      </c>
      <c r="C37" s="871"/>
      <c r="D37" s="872"/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872"/>
      <c r="P37" s="873"/>
    </row>
    <row r="38" spans="1:16" ht="12.75" customHeight="1">
      <c r="A38" s="201">
        <f t="shared" si="0"/>
        <v>28</v>
      </c>
      <c r="B38" s="201" t="s">
        <v>618</v>
      </c>
      <c r="C38" s="871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3"/>
    </row>
    <row r="39" spans="1:16" ht="12.75" customHeight="1">
      <c r="A39" s="201">
        <f t="shared" si="0"/>
        <v>29</v>
      </c>
      <c r="B39" s="201" t="s">
        <v>619</v>
      </c>
      <c r="C39" s="871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3"/>
    </row>
    <row r="40" spans="1:16" ht="12.75" customHeight="1">
      <c r="A40" s="201">
        <f t="shared" si="0"/>
        <v>30</v>
      </c>
      <c r="B40" s="143" t="s">
        <v>620</v>
      </c>
      <c r="C40" s="871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3"/>
    </row>
    <row r="41" spans="1:16" ht="12.75" customHeight="1">
      <c r="A41" s="201">
        <f t="shared" si="0"/>
        <v>31</v>
      </c>
      <c r="B41" s="143" t="s">
        <v>621</v>
      </c>
      <c r="C41" s="871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3"/>
    </row>
    <row r="42" spans="1:16" ht="12.75" customHeight="1">
      <c r="A42" s="201">
        <f t="shared" si="0"/>
        <v>32</v>
      </c>
      <c r="B42" s="143" t="s">
        <v>622</v>
      </c>
      <c r="C42" s="871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3"/>
    </row>
    <row r="43" spans="1:16" ht="12.75" customHeight="1">
      <c r="A43" s="201">
        <f t="shared" si="0"/>
        <v>33</v>
      </c>
      <c r="B43" s="143" t="s">
        <v>623</v>
      </c>
      <c r="C43" s="871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3"/>
    </row>
    <row r="44" spans="1:16" ht="12.75" customHeight="1">
      <c r="A44" s="150"/>
      <c r="B44" s="150" t="s">
        <v>624</v>
      </c>
      <c r="C44" s="874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75"/>
      <c r="O44" s="875"/>
      <c r="P44" s="876"/>
    </row>
    <row r="45" spans="1:14" ht="12.75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2.75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9" spans="1:14" ht="12.75">
      <c r="A49" s="850"/>
      <c r="B49" s="850"/>
      <c r="C49" s="850"/>
      <c r="D49" s="850"/>
      <c r="E49" s="850"/>
      <c r="F49" s="850"/>
      <c r="G49" s="850"/>
      <c r="H49" s="850"/>
      <c r="I49" s="850"/>
      <c r="J49" s="850"/>
      <c r="K49" s="850"/>
      <c r="L49" s="850"/>
      <c r="M49" s="850"/>
      <c r="N49" s="850"/>
    </row>
    <row r="50" spans="10:14" ht="12.75">
      <c r="J50" s="878" t="s">
        <v>860</v>
      </c>
      <c r="K50" s="878"/>
      <c r="L50" s="878"/>
      <c r="M50" s="878"/>
      <c r="N50" s="878"/>
    </row>
    <row r="51" spans="10:14" ht="12.75">
      <c r="J51" s="878" t="s">
        <v>653</v>
      </c>
      <c r="K51" s="878"/>
      <c r="L51" s="878"/>
      <c r="M51" s="878"/>
      <c r="N51" s="878"/>
    </row>
  </sheetData>
  <sheetProtection/>
  <mergeCells count="19">
    <mergeCell ref="J50:N50"/>
    <mergeCell ref="J51:N51"/>
    <mergeCell ref="A49:N49"/>
    <mergeCell ref="C8:C9"/>
    <mergeCell ref="A7:B7"/>
    <mergeCell ref="H7:N7"/>
    <mergeCell ref="A8:A9"/>
    <mergeCell ref="B8:B9"/>
    <mergeCell ref="D8:D9"/>
    <mergeCell ref="E8:H8"/>
    <mergeCell ref="A6:N6"/>
    <mergeCell ref="D1:E1"/>
    <mergeCell ref="O1:P1"/>
    <mergeCell ref="O8:P8"/>
    <mergeCell ref="C11:P44"/>
    <mergeCell ref="A2:P2"/>
    <mergeCell ref="A3:P3"/>
    <mergeCell ref="A4:P5"/>
    <mergeCell ref="I8:N8"/>
  </mergeCells>
  <printOptions horizontalCentered="1"/>
  <pageMargins left="0.46" right="0.41" top="0.48" bottom="0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85" zoomScaleNormal="70" zoomScaleSheetLayoutView="85" zoomScalePageLayoutView="0" workbookViewId="0" topLeftCell="A10">
      <selection activeCell="N32" sqref="N32"/>
    </sheetView>
  </sheetViews>
  <sheetFormatPr defaultColWidth="9.140625" defaultRowHeight="12.75"/>
  <cols>
    <col min="1" max="1" width="8.28125" style="6" customWidth="1"/>
    <col min="2" max="2" width="18.57421875" style="6" customWidth="1"/>
    <col min="3" max="3" width="17.28125" style="6" customWidth="1"/>
    <col min="4" max="4" width="21.00390625" style="6" customWidth="1"/>
    <col min="5" max="5" width="21.140625" style="6" customWidth="1"/>
    <col min="6" max="6" width="20.7109375" style="6" customWidth="1"/>
    <col min="7" max="7" width="23.57421875" style="6" customWidth="1"/>
    <col min="8" max="8" width="22.7109375" style="6" customWidth="1"/>
    <col min="9" max="9" width="9.8515625" style="6" customWidth="1"/>
    <col min="10" max="16384" width="9.140625" style="6" customWidth="1"/>
  </cols>
  <sheetData>
    <row r="1" spans="1:8" ht="15.75">
      <c r="A1" s="562" t="s">
        <v>655</v>
      </c>
      <c r="B1" s="562"/>
      <c r="C1" s="562"/>
      <c r="D1" s="562"/>
      <c r="E1" s="562"/>
      <c r="F1" s="562"/>
      <c r="G1" s="562"/>
      <c r="H1" s="199" t="s">
        <v>252</v>
      </c>
    </row>
    <row r="2" spans="1:8" ht="20.25">
      <c r="A2" s="563" t="s">
        <v>695</v>
      </c>
      <c r="B2" s="563"/>
      <c r="C2" s="563"/>
      <c r="D2" s="563"/>
      <c r="E2" s="563"/>
      <c r="F2" s="563"/>
      <c r="G2" s="563"/>
      <c r="H2" s="563"/>
    </row>
    <row r="4" spans="1:8" ht="18" customHeight="1">
      <c r="A4" s="639" t="s">
        <v>701</v>
      </c>
      <c r="B4" s="639"/>
      <c r="C4" s="639"/>
      <c r="D4" s="639"/>
      <c r="E4" s="639"/>
      <c r="F4" s="639"/>
      <c r="G4" s="639"/>
      <c r="H4" s="639"/>
    </row>
    <row r="5" spans="1:2" s="5" customFormat="1" ht="12.75">
      <c r="A5" s="21" t="s">
        <v>665</v>
      </c>
      <c r="B5" s="21"/>
    </row>
    <row r="6" spans="1:9" ht="12.75">
      <c r="A6" s="76"/>
      <c r="B6" s="76"/>
      <c r="G6" s="640" t="s">
        <v>750</v>
      </c>
      <c r="H6" s="640"/>
      <c r="I6" s="55"/>
    </row>
    <row r="7" spans="1:10" ht="59.25" customHeight="1">
      <c r="A7" s="122" t="s">
        <v>2</v>
      </c>
      <c r="B7" s="122" t="s">
        <v>3</v>
      </c>
      <c r="C7" s="200" t="s">
        <v>253</v>
      </c>
      <c r="D7" s="200" t="s">
        <v>254</v>
      </c>
      <c r="E7" s="200" t="s">
        <v>255</v>
      </c>
      <c r="F7" s="200" t="s">
        <v>256</v>
      </c>
      <c r="G7" s="200" t="s">
        <v>257</v>
      </c>
      <c r="H7" s="200" t="s">
        <v>258</v>
      </c>
      <c r="J7" s="294"/>
    </row>
    <row r="8" spans="1:8" s="199" customFormat="1" ht="14.25">
      <c r="A8" s="149" t="s">
        <v>259</v>
      </c>
      <c r="B8" s="149" t="s">
        <v>260</v>
      </c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149" t="s">
        <v>266</v>
      </c>
    </row>
    <row r="9" spans="1:8" s="199" customFormat="1" ht="14.25">
      <c r="A9" s="201">
        <v>1</v>
      </c>
      <c r="B9" s="201" t="s">
        <v>633</v>
      </c>
      <c r="C9" s="201">
        <v>964</v>
      </c>
      <c r="D9" s="201">
        <v>111</v>
      </c>
      <c r="E9" s="201">
        <v>120</v>
      </c>
      <c r="F9" s="284">
        <f>SUM(C9:E9)</f>
        <v>1195</v>
      </c>
      <c r="G9" s="284">
        <f>'AT3A_cvrg(Insti)_PY'!L12+'AT3B_cvrg(Insti)_UPY '!L11+'AT3C_cvrg(Insti)_UPY '!L11</f>
        <v>1152</v>
      </c>
      <c r="H9" s="284">
        <f>F9-G9</f>
        <v>43</v>
      </c>
    </row>
    <row r="10" spans="1:8" s="199" customFormat="1" ht="14.25">
      <c r="A10" s="201">
        <f>A9+1</f>
        <v>2</v>
      </c>
      <c r="B10" s="201" t="s">
        <v>598</v>
      </c>
      <c r="C10" s="201">
        <v>1036</v>
      </c>
      <c r="D10" s="201">
        <v>120</v>
      </c>
      <c r="E10" s="201">
        <v>168</v>
      </c>
      <c r="F10" s="284">
        <f aca="true" t="shared" si="0" ref="F10:F39">SUM(C10:E10)</f>
        <v>1324</v>
      </c>
      <c r="G10" s="284">
        <f>'AT3A_cvrg(Insti)_PY'!L13+'AT3B_cvrg(Insti)_UPY '!L12+'AT3C_cvrg(Insti)_UPY '!L12</f>
        <v>1313</v>
      </c>
      <c r="H10" s="284">
        <f aca="true" t="shared" si="1" ref="H10:H39">F10-G10</f>
        <v>11</v>
      </c>
    </row>
    <row r="11" spans="1:8" s="199" customFormat="1" ht="14.25">
      <c r="A11" s="201">
        <f aca="true" t="shared" si="2" ref="A11:A39">A10+1</f>
        <v>3</v>
      </c>
      <c r="B11" s="201" t="s">
        <v>634</v>
      </c>
      <c r="C11" s="201">
        <v>611</v>
      </c>
      <c r="D11" s="201">
        <v>297</v>
      </c>
      <c r="E11" s="201">
        <v>51</v>
      </c>
      <c r="F11" s="284">
        <f t="shared" si="0"/>
        <v>959</v>
      </c>
      <c r="G11" s="284">
        <f>'AT3A_cvrg(Insti)_PY'!L14+'AT3B_cvrg(Insti)_UPY '!L13+'AT3C_cvrg(Insti)_UPY '!L13</f>
        <v>883</v>
      </c>
      <c r="H11" s="284">
        <f t="shared" si="1"/>
        <v>76</v>
      </c>
    </row>
    <row r="12" spans="1:8" s="199" customFormat="1" ht="14.25">
      <c r="A12" s="201">
        <f t="shared" si="2"/>
        <v>4</v>
      </c>
      <c r="B12" s="201" t="s">
        <v>599</v>
      </c>
      <c r="C12" s="201">
        <v>518</v>
      </c>
      <c r="D12" s="201">
        <v>200</v>
      </c>
      <c r="E12" s="201">
        <v>87</v>
      </c>
      <c r="F12" s="284">
        <f t="shared" si="0"/>
        <v>805</v>
      </c>
      <c r="G12" s="284">
        <f>'AT3A_cvrg(Insti)_PY'!L15+'AT3B_cvrg(Insti)_UPY '!L14+'AT3C_cvrg(Insti)_UPY '!L14</f>
        <v>805</v>
      </c>
      <c r="H12" s="284">
        <f t="shared" si="1"/>
        <v>0</v>
      </c>
    </row>
    <row r="13" spans="1:8" s="199" customFormat="1" ht="14.25">
      <c r="A13" s="201">
        <f t="shared" si="2"/>
        <v>5</v>
      </c>
      <c r="B13" s="201" t="s">
        <v>600</v>
      </c>
      <c r="C13" s="201">
        <v>364</v>
      </c>
      <c r="D13" s="201">
        <v>122</v>
      </c>
      <c r="E13" s="201">
        <v>71</v>
      </c>
      <c r="F13" s="284">
        <f t="shared" si="0"/>
        <v>557</v>
      </c>
      <c r="G13" s="284">
        <f>'AT3A_cvrg(Insti)_PY'!L16+'AT3B_cvrg(Insti)_UPY '!L15+'AT3C_cvrg(Insti)_UPY '!L15</f>
        <v>524</v>
      </c>
      <c r="H13" s="284">
        <f t="shared" si="1"/>
        <v>33</v>
      </c>
    </row>
    <row r="14" spans="1:8" s="199" customFormat="1" ht="14.25">
      <c r="A14" s="201">
        <f t="shared" si="2"/>
        <v>6</v>
      </c>
      <c r="B14" s="201" t="s">
        <v>601</v>
      </c>
      <c r="C14" s="201">
        <v>691</v>
      </c>
      <c r="D14" s="201">
        <v>118</v>
      </c>
      <c r="E14" s="201">
        <v>90</v>
      </c>
      <c r="F14" s="284">
        <f t="shared" si="0"/>
        <v>899</v>
      </c>
      <c r="G14" s="284">
        <f>'AT3A_cvrg(Insti)_PY'!L17+'AT3B_cvrg(Insti)_UPY '!L16+'AT3C_cvrg(Insti)_UPY '!L16</f>
        <v>826</v>
      </c>
      <c r="H14" s="284">
        <f t="shared" si="1"/>
        <v>73</v>
      </c>
    </row>
    <row r="15" spans="1:8" s="199" customFormat="1" ht="14.25">
      <c r="A15" s="201">
        <f t="shared" si="2"/>
        <v>7</v>
      </c>
      <c r="B15" s="201" t="s">
        <v>602</v>
      </c>
      <c r="C15" s="201">
        <v>288</v>
      </c>
      <c r="D15" s="201">
        <v>88</v>
      </c>
      <c r="E15" s="201">
        <v>90</v>
      </c>
      <c r="F15" s="284">
        <f t="shared" si="0"/>
        <v>466</v>
      </c>
      <c r="G15" s="284">
        <f>'AT3A_cvrg(Insti)_PY'!L18+'AT3B_cvrg(Insti)_UPY '!L17+'AT3C_cvrg(Insti)_UPY '!L17</f>
        <v>466</v>
      </c>
      <c r="H15" s="284">
        <f t="shared" si="1"/>
        <v>0</v>
      </c>
    </row>
    <row r="16" spans="1:8" s="199" customFormat="1" ht="14.25">
      <c r="A16" s="201">
        <f t="shared" si="2"/>
        <v>8</v>
      </c>
      <c r="B16" s="201" t="s">
        <v>603</v>
      </c>
      <c r="C16" s="201">
        <v>703</v>
      </c>
      <c r="D16" s="201">
        <v>193</v>
      </c>
      <c r="E16" s="201">
        <v>134</v>
      </c>
      <c r="F16" s="284">
        <f t="shared" si="0"/>
        <v>1030</v>
      </c>
      <c r="G16" s="284">
        <f>'AT3A_cvrg(Insti)_PY'!L19+'AT3B_cvrg(Insti)_UPY '!L18+'AT3C_cvrg(Insti)_UPY '!L18</f>
        <v>1014</v>
      </c>
      <c r="H16" s="284">
        <f t="shared" si="1"/>
        <v>16</v>
      </c>
    </row>
    <row r="17" spans="1:8" s="199" customFormat="1" ht="14.25">
      <c r="A17" s="201">
        <f t="shared" si="2"/>
        <v>9</v>
      </c>
      <c r="B17" s="201" t="s">
        <v>604</v>
      </c>
      <c r="C17" s="201">
        <v>432</v>
      </c>
      <c r="D17" s="201">
        <v>172</v>
      </c>
      <c r="E17" s="201">
        <v>81</v>
      </c>
      <c r="F17" s="284">
        <f t="shared" si="0"/>
        <v>685</v>
      </c>
      <c r="G17" s="284">
        <f>'AT3A_cvrg(Insti)_PY'!L20+'AT3B_cvrg(Insti)_UPY '!L19+'AT3C_cvrg(Insti)_UPY '!L19</f>
        <v>685</v>
      </c>
      <c r="H17" s="284">
        <f t="shared" si="1"/>
        <v>0</v>
      </c>
    </row>
    <row r="18" spans="1:8" s="199" customFormat="1" ht="14.25">
      <c r="A18" s="201">
        <f t="shared" si="2"/>
        <v>10</v>
      </c>
      <c r="B18" s="201" t="s">
        <v>605</v>
      </c>
      <c r="C18" s="201">
        <v>840</v>
      </c>
      <c r="D18" s="201">
        <v>222</v>
      </c>
      <c r="E18" s="201">
        <v>197</v>
      </c>
      <c r="F18" s="284">
        <f t="shared" si="0"/>
        <v>1259</v>
      </c>
      <c r="G18" s="284">
        <f>'AT3A_cvrg(Insti)_PY'!L21+'AT3B_cvrg(Insti)_UPY '!L20+'AT3C_cvrg(Insti)_UPY '!L20</f>
        <v>1259</v>
      </c>
      <c r="H18" s="284">
        <f t="shared" si="1"/>
        <v>0</v>
      </c>
    </row>
    <row r="19" spans="1:8" s="199" customFormat="1" ht="14.25">
      <c r="A19" s="201">
        <f t="shared" si="2"/>
        <v>11</v>
      </c>
      <c r="B19" s="201" t="s">
        <v>635</v>
      </c>
      <c r="C19" s="201">
        <v>898</v>
      </c>
      <c r="D19" s="201">
        <v>64</v>
      </c>
      <c r="E19" s="201">
        <v>106</v>
      </c>
      <c r="F19" s="284">
        <f t="shared" si="0"/>
        <v>1068</v>
      </c>
      <c r="G19" s="284">
        <f>'AT3A_cvrg(Insti)_PY'!L22+'AT3B_cvrg(Insti)_UPY '!L21+'AT3C_cvrg(Insti)_UPY '!L21</f>
        <v>1039</v>
      </c>
      <c r="H19" s="284">
        <f t="shared" si="1"/>
        <v>29</v>
      </c>
    </row>
    <row r="20" spans="1:8" s="199" customFormat="1" ht="14.25">
      <c r="A20" s="201">
        <f t="shared" si="2"/>
        <v>12</v>
      </c>
      <c r="B20" s="201" t="s">
        <v>606</v>
      </c>
      <c r="C20" s="201">
        <v>784</v>
      </c>
      <c r="D20" s="201">
        <v>111</v>
      </c>
      <c r="E20" s="201">
        <v>124</v>
      </c>
      <c r="F20" s="284">
        <f t="shared" si="0"/>
        <v>1019</v>
      </c>
      <c r="G20" s="284">
        <f>'AT3A_cvrg(Insti)_PY'!L23+'AT3B_cvrg(Insti)_UPY '!L22+'AT3C_cvrg(Insti)_UPY '!L22</f>
        <v>927</v>
      </c>
      <c r="H20" s="284">
        <f t="shared" si="1"/>
        <v>92</v>
      </c>
    </row>
    <row r="21" spans="1:8" s="199" customFormat="1" ht="14.25">
      <c r="A21" s="201">
        <f t="shared" si="2"/>
        <v>13</v>
      </c>
      <c r="B21" s="201" t="s">
        <v>607</v>
      </c>
      <c r="C21" s="201">
        <v>1017</v>
      </c>
      <c r="D21" s="201">
        <v>223</v>
      </c>
      <c r="E21" s="201">
        <v>197</v>
      </c>
      <c r="F21" s="284">
        <f t="shared" si="0"/>
        <v>1437</v>
      </c>
      <c r="G21" s="284">
        <f>'AT3A_cvrg(Insti)_PY'!L24+'AT3B_cvrg(Insti)_UPY '!L23+'AT3C_cvrg(Insti)_UPY '!L23</f>
        <v>1340</v>
      </c>
      <c r="H21" s="284">
        <f t="shared" si="1"/>
        <v>97</v>
      </c>
    </row>
    <row r="22" spans="1:8" s="199" customFormat="1" ht="14.25">
      <c r="A22" s="201">
        <f t="shared" si="2"/>
        <v>14</v>
      </c>
      <c r="B22" s="201" t="s">
        <v>636</v>
      </c>
      <c r="C22" s="201">
        <v>569</v>
      </c>
      <c r="D22" s="201">
        <v>121</v>
      </c>
      <c r="E22" s="201">
        <v>98</v>
      </c>
      <c r="F22" s="284">
        <f t="shared" si="0"/>
        <v>788</v>
      </c>
      <c r="G22" s="284">
        <f>'AT3A_cvrg(Insti)_PY'!L25+'AT3B_cvrg(Insti)_UPY '!L24+'AT3C_cvrg(Insti)_UPY '!L24</f>
        <v>769</v>
      </c>
      <c r="H22" s="284">
        <f t="shared" si="1"/>
        <v>19</v>
      </c>
    </row>
    <row r="23" spans="1:8" s="199" customFormat="1" ht="14.25">
      <c r="A23" s="201">
        <f t="shared" si="2"/>
        <v>15</v>
      </c>
      <c r="B23" s="201" t="s">
        <v>608</v>
      </c>
      <c r="C23" s="201">
        <v>628</v>
      </c>
      <c r="D23" s="201">
        <v>151</v>
      </c>
      <c r="E23" s="201">
        <v>131</v>
      </c>
      <c r="F23" s="284">
        <f t="shared" si="0"/>
        <v>910</v>
      </c>
      <c r="G23" s="284">
        <f>'AT3A_cvrg(Insti)_PY'!L26+'AT3B_cvrg(Insti)_UPY '!L25+'AT3C_cvrg(Insti)_UPY '!L25</f>
        <v>910</v>
      </c>
      <c r="H23" s="284">
        <f t="shared" si="1"/>
        <v>0</v>
      </c>
    </row>
    <row r="24" spans="1:8" s="199" customFormat="1" ht="14.25">
      <c r="A24" s="201">
        <f t="shared" si="2"/>
        <v>16</v>
      </c>
      <c r="B24" s="201" t="s">
        <v>609</v>
      </c>
      <c r="C24" s="201">
        <v>377</v>
      </c>
      <c r="D24" s="201">
        <v>112</v>
      </c>
      <c r="E24" s="201">
        <v>40</v>
      </c>
      <c r="F24" s="284">
        <f t="shared" si="0"/>
        <v>529</v>
      </c>
      <c r="G24" s="284">
        <f>'AT3A_cvrg(Insti)_PY'!L27+'AT3B_cvrg(Insti)_UPY '!L26+'AT3C_cvrg(Insti)_UPY '!L26</f>
        <v>524</v>
      </c>
      <c r="H24" s="284">
        <f t="shared" si="1"/>
        <v>5</v>
      </c>
    </row>
    <row r="25" spans="1:8" s="199" customFormat="1" ht="14.25">
      <c r="A25" s="201">
        <f>A24+1</f>
        <v>17</v>
      </c>
      <c r="B25" s="201" t="s">
        <v>610</v>
      </c>
      <c r="C25" s="201">
        <v>610</v>
      </c>
      <c r="D25" s="201">
        <v>136</v>
      </c>
      <c r="E25" s="201">
        <v>132</v>
      </c>
      <c r="F25" s="284">
        <f t="shared" si="0"/>
        <v>878</v>
      </c>
      <c r="G25" s="284">
        <f>'AT3A_cvrg(Insti)_PY'!L28+'AT3B_cvrg(Insti)_UPY '!L27+'AT3C_cvrg(Insti)_UPY '!L27</f>
        <v>840</v>
      </c>
      <c r="H25" s="284">
        <f t="shared" si="1"/>
        <v>38</v>
      </c>
    </row>
    <row r="26" spans="1:8" s="199" customFormat="1" ht="14.25">
      <c r="A26" s="201">
        <f t="shared" si="2"/>
        <v>18</v>
      </c>
      <c r="B26" s="201" t="s">
        <v>611</v>
      </c>
      <c r="C26" s="201">
        <v>1171</v>
      </c>
      <c r="D26" s="201">
        <v>265</v>
      </c>
      <c r="E26" s="201">
        <v>137</v>
      </c>
      <c r="F26" s="284">
        <f t="shared" si="0"/>
        <v>1573</v>
      </c>
      <c r="G26" s="284">
        <f>'AT3A_cvrg(Insti)_PY'!L29+'AT3B_cvrg(Insti)_UPY '!L28+'AT3C_cvrg(Insti)_UPY '!L28</f>
        <v>1427</v>
      </c>
      <c r="H26" s="284">
        <f t="shared" si="1"/>
        <v>146</v>
      </c>
    </row>
    <row r="27" spans="1:8" s="199" customFormat="1" ht="14.25">
      <c r="A27" s="201">
        <f>A26+1</f>
        <v>19</v>
      </c>
      <c r="B27" s="269" t="s">
        <v>637</v>
      </c>
      <c r="C27" s="201">
        <v>574</v>
      </c>
      <c r="D27" s="201">
        <v>118</v>
      </c>
      <c r="E27" s="201">
        <v>93</v>
      </c>
      <c r="F27" s="284">
        <f t="shared" si="0"/>
        <v>785</v>
      </c>
      <c r="G27" s="284">
        <f>'AT3A_cvrg(Insti)_PY'!L30+'AT3B_cvrg(Insti)_UPY '!L29+'AT3C_cvrg(Insti)_UPY '!L29</f>
        <v>784</v>
      </c>
      <c r="H27" s="284">
        <f t="shared" si="1"/>
        <v>1</v>
      </c>
    </row>
    <row r="28" spans="1:8" s="199" customFormat="1" ht="14.25">
      <c r="A28" s="201">
        <f t="shared" si="2"/>
        <v>20</v>
      </c>
      <c r="B28" s="201" t="s">
        <v>612</v>
      </c>
      <c r="C28" s="201">
        <v>795</v>
      </c>
      <c r="D28" s="201">
        <v>276</v>
      </c>
      <c r="E28" s="201">
        <v>143</v>
      </c>
      <c r="F28" s="284">
        <f t="shared" si="0"/>
        <v>1214</v>
      </c>
      <c r="G28" s="284">
        <f>'AT3A_cvrg(Insti)_PY'!L31+'AT3B_cvrg(Insti)_UPY '!L30+'AT3C_cvrg(Insti)_UPY '!L30</f>
        <v>1200</v>
      </c>
      <c r="H28" s="284">
        <f t="shared" si="1"/>
        <v>14</v>
      </c>
    </row>
    <row r="29" spans="1:8" s="199" customFormat="1" ht="14.25">
      <c r="A29" s="201">
        <f t="shared" si="2"/>
        <v>21</v>
      </c>
      <c r="B29" s="201" t="s">
        <v>613</v>
      </c>
      <c r="C29" s="201">
        <v>362</v>
      </c>
      <c r="D29" s="201">
        <v>116</v>
      </c>
      <c r="E29" s="201">
        <v>89</v>
      </c>
      <c r="F29" s="284">
        <f t="shared" si="0"/>
        <v>567</v>
      </c>
      <c r="G29" s="284">
        <f>'AT3A_cvrg(Insti)_PY'!L32+'AT3B_cvrg(Insti)_UPY '!L31+'AT3C_cvrg(Insti)_UPY '!L31</f>
        <v>554</v>
      </c>
      <c r="H29" s="284">
        <f t="shared" si="1"/>
        <v>13</v>
      </c>
    </row>
    <row r="30" spans="1:8" s="199" customFormat="1" ht="14.25">
      <c r="A30" s="201">
        <f t="shared" si="2"/>
        <v>22</v>
      </c>
      <c r="B30" s="201" t="s">
        <v>614</v>
      </c>
      <c r="C30" s="201">
        <v>341</v>
      </c>
      <c r="D30" s="201">
        <v>120</v>
      </c>
      <c r="E30" s="201">
        <v>39</v>
      </c>
      <c r="F30" s="284">
        <f t="shared" si="0"/>
        <v>500</v>
      </c>
      <c r="G30" s="284">
        <f>'AT3A_cvrg(Insti)_PY'!L33+'AT3B_cvrg(Insti)_UPY '!L32+'AT3C_cvrg(Insti)_UPY '!L32</f>
        <v>500</v>
      </c>
      <c r="H30" s="284">
        <f t="shared" si="1"/>
        <v>0</v>
      </c>
    </row>
    <row r="31" spans="1:8" s="199" customFormat="1" ht="14.25">
      <c r="A31" s="201">
        <f t="shared" si="2"/>
        <v>23</v>
      </c>
      <c r="B31" s="201" t="s">
        <v>615</v>
      </c>
      <c r="C31" s="201">
        <v>899</v>
      </c>
      <c r="D31" s="201">
        <v>259</v>
      </c>
      <c r="E31" s="201">
        <v>198</v>
      </c>
      <c r="F31" s="284">
        <f t="shared" si="0"/>
        <v>1356</v>
      </c>
      <c r="G31" s="284">
        <f>'AT3A_cvrg(Insti)_PY'!L34+'AT3B_cvrg(Insti)_UPY '!L33+'AT3C_cvrg(Insti)_UPY '!L33</f>
        <v>1333</v>
      </c>
      <c r="H31" s="284">
        <f t="shared" si="1"/>
        <v>23</v>
      </c>
    </row>
    <row r="32" spans="1:8" s="199" customFormat="1" ht="14.25">
      <c r="A32" s="201">
        <f t="shared" si="2"/>
        <v>24</v>
      </c>
      <c r="B32" s="201" t="s">
        <v>616</v>
      </c>
      <c r="C32" s="201">
        <v>873</v>
      </c>
      <c r="D32" s="201">
        <v>217</v>
      </c>
      <c r="E32" s="201">
        <v>198</v>
      </c>
      <c r="F32" s="284">
        <f t="shared" si="0"/>
        <v>1288</v>
      </c>
      <c r="G32" s="284">
        <f>'AT3A_cvrg(Insti)_PY'!L35+'AT3B_cvrg(Insti)_UPY '!L34+'AT3C_cvrg(Insti)_UPY '!L34</f>
        <v>1288</v>
      </c>
      <c r="H32" s="284">
        <f t="shared" si="1"/>
        <v>0</v>
      </c>
    </row>
    <row r="33" spans="1:8" s="199" customFormat="1" ht="14.25">
      <c r="A33" s="201">
        <f t="shared" si="2"/>
        <v>25</v>
      </c>
      <c r="B33" s="201" t="s">
        <v>617</v>
      </c>
      <c r="C33" s="201">
        <v>639</v>
      </c>
      <c r="D33" s="201">
        <v>243</v>
      </c>
      <c r="E33" s="201">
        <v>112</v>
      </c>
      <c r="F33" s="284">
        <f t="shared" si="0"/>
        <v>994</v>
      </c>
      <c r="G33" s="284">
        <f>'AT3A_cvrg(Insti)_PY'!L36+'AT3B_cvrg(Insti)_UPY '!L35+'AT3C_cvrg(Insti)_UPY '!L35</f>
        <v>994</v>
      </c>
      <c r="H33" s="284">
        <f t="shared" si="1"/>
        <v>0</v>
      </c>
    </row>
    <row r="34" spans="1:8" s="199" customFormat="1" ht="14.25">
      <c r="A34" s="201">
        <f t="shared" si="2"/>
        <v>26</v>
      </c>
      <c r="B34" s="201" t="s">
        <v>618</v>
      </c>
      <c r="C34" s="201">
        <v>702</v>
      </c>
      <c r="D34" s="201">
        <v>199</v>
      </c>
      <c r="E34" s="201">
        <v>82</v>
      </c>
      <c r="F34" s="284">
        <f t="shared" si="0"/>
        <v>983</v>
      </c>
      <c r="G34" s="284">
        <f>'AT3A_cvrg(Insti)_PY'!L37+'AT3B_cvrg(Insti)_UPY '!L36+'AT3C_cvrg(Insti)_UPY '!L36</f>
        <v>971</v>
      </c>
      <c r="H34" s="284">
        <f t="shared" si="1"/>
        <v>12</v>
      </c>
    </row>
    <row r="35" spans="1:8" s="199" customFormat="1" ht="14.25">
      <c r="A35" s="201">
        <f t="shared" si="2"/>
        <v>27</v>
      </c>
      <c r="B35" s="201" t="s">
        <v>619</v>
      </c>
      <c r="C35" s="201">
        <v>756</v>
      </c>
      <c r="D35" s="201">
        <v>188</v>
      </c>
      <c r="E35" s="201">
        <v>113</v>
      </c>
      <c r="F35" s="284">
        <f t="shared" si="0"/>
        <v>1057</v>
      </c>
      <c r="G35" s="284">
        <f>'AT3A_cvrg(Insti)_PY'!L38+'AT3B_cvrg(Insti)_UPY '!L37+'AT3C_cvrg(Insti)_UPY '!L37</f>
        <v>1034</v>
      </c>
      <c r="H35" s="284">
        <f t="shared" si="1"/>
        <v>23</v>
      </c>
    </row>
    <row r="36" spans="1:10" ht="14.25">
      <c r="A36" s="201">
        <f t="shared" si="2"/>
        <v>28</v>
      </c>
      <c r="B36" s="143" t="s">
        <v>620</v>
      </c>
      <c r="C36" s="201">
        <v>363</v>
      </c>
      <c r="D36" s="201">
        <v>105</v>
      </c>
      <c r="E36" s="201">
        <v>58</v>
      </c>
      <c r="F36" s="284">
        <f t="shared" si="0"/>
        <v>526</v>
      </c>
      <c r="G36" s="284">
        <f>'AT3A_cvrg(Insti)_PY'!L39+'AT3B_cvrg(Insti)_UPY '!L38+'AT3C_cvrg(Insti)_UPY '!L38</f>
        <v>514</v>
      </c>
      <c r="H36" s="284">
        <f t="shared" si="1"/>
        <v>12</v>
      </c>
      <c r="J36" s="199"/>
    </row>
    <row r="37" spans="1:10" ht="14.25">
      <c r="A37" s="201">
        <f t="shared" si="2"/>
        <v>29</v>
      </c>
      <c r="B37" s="143" t="s">
        <v>621</v>
      </c>
      <c r="C37" s="201">
        <v>473</v>
      </c>
      <c r="D37" s="201">
        <v>141</v>
      </c>
      <c r="E37" s="201">
        <v>83</v>
      </c>
      <c r="F37" s="284">
        <f t="shared" si="0"/>
        <v>697</v>
      </c>
      <c r="G37" s="284">
        <f>'AT3A_cvrg(Insti)_PY'!L40+'AT3B_cvrg(Insti)_UPY '!L39+'AT3C_cvrg(Insti)_UPY '!L39</f>
        <v>654</v>
      </c>
      <c r="H37" s="284">
        <f t="shared" si="1"/>
        <v>43</v>
      </c>
      <c r="J37" s="199"/>
    </row>
    <row r="38" spans="1:10" ht="14.25">
      <c r="A38" s="201">
        <f t="shared" si="2"/>
        <v>30</v>
      </c>
      <c r="B38" s="143" t="s">
        <v>622</v>
      </c>
      <c r="C38" s="201">
        <v>354</v>
      </c>
      <c r="D38" s="201">
        <v>143</v>
      </c>
      <c r="E38" s="201">
        <v>76</v>
      </c>
      <c r="F38" s="284">
        <f t="shared" si="0"/>
        <v>573</v>
      </c>
      <c r="G38" s="284">
        <f>'AT3A_cvrg(Insti)_PY'!L41+'AT3B_cvrg(Insti)_UPY '!L40+'AT3C_cvrg(Insti)_UPY '!L40</f>
        <v>525</v>
      </c>
      <c r="H38" s="284">
        <f t="shared" si="1"/>
        <v>48</v>
      </c>
      <c r="J38" s="199"/>
    </row>
    <row r="39" spans="1:10" ht="14.25">
      <c r="A39" s="201">
        <f t="shared" si="2"/>
        <v>31</v>
      </c>
      <c r="B39" s="143" t="s">
        <v>623</v>
      </c>
      <c r="C39" s="201">
        <v>473</v>
      </c>
      <c r="D39" s="201">
        <v>164</v>
      </c>
      <c r="E39" s="201">
        <v>65</v>
      </c>
      <c r="F39" s="284">
        <f t="shared" si="0"/>
        <v>702</v>
      </c>
      <c r="G39" s="284">
        <f>'AT3A_cvrg(Insti)_PY'!L42+'AT3B_cvrg(Insti)_UPY '!L41+'AT3C_cvrg(Insti)_UPY '!L41</f>
        <v>678</v>
      </c>
      <c r="H39" s="284">
        <f t="shared" si="1"/>
        <v>24</v>
      </c>
      <c r="J39" s="199"/>
    </row>
    <row r="40" spans="1:8" s="195" customFormat="1" ht="12.75">
      <c r="A40" s="150"/>
      <c r="B40" s="150" t="s">
        <v>624</v>
      </c>
      <c r="C40" s="284">
        <f>SUM(C9:C39)</f>
        <v>20105</v>
      </c>
      <c r="D40" s="284">
        <f>SUM(D9:D39)</f>
        <v>5115</v>
      </c>
      <c r="E40" s="284">
        <f>SUM(E9:E39)</f>
        <v>3403</v>
      </c>
      <c r="F40" s="284">
        <f>SUM(F9:F39)</f>
        <v>28623</v>
      </c>
      <c r="G40" s="284">
        <f>SUM(G9:G39)</f>
        <v>27732</v>
      </c>
      <c r="H40" s="1" t="s">
        <v>876</v>
      </c>
    </row>
    <row r="41" ht="12.75">
      <c r="H41" s="54"/>
    </row>
    <row r="42" ht="12.75">
      <c r="A42" s="202" t="s">
        <v>267</v>
      </c>
    </row>
    <row r="45" spans="1:15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7" spans="5:9" ht="15.75">
      <c r="E47" s="621" t="s">
        <v>860</v>
      </c>
      <c r="F47" s="621"/>
      <c r="G47" s="621"/>
      <c r="H47" s="621"/>
      <c r="I47" s="5"/>
    </row>
    <row r="48" spans="5:9" ht="15.75">
      <c r="E48" s="621" t="s">
        <v>653</v>
      </c>
      <c r="F48" s="621"/>
      <c r="G48" s="621"/>
      <c r="H48" s="621"/>
      <c r="I48" s="277"/>
    </row>
  </sheetData>
  <sheetProtection/>
  <mergeCells count="6">
    <mergeCell ref="E47:H47"/>
    <mergeCell ref="E48:H48"/>
    <mergeCell ref="A1:G1"/>
    <mergeCell ref="A2:H2"/>
    <mergeCell ref="A4:H4"/>
    <mergeCell ref="G6:H6"/>
  </mergeCells>
  <printOptions horizontalCentered="1"/>
  <pageMargins left="0.43" right="0.44" top="0.43" bottom="0.23" header="0.31496062992125984" footer="0.31496062992125984"/>
  <pageSetup fitToHeight="1" fitToWidth="1" horizontalDpi="600" verticalDpi="600" orientation="landscape" paperSize="9" scale="73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1"/>
  <sheetViews>
    <sheetView view="pageBreakPreview" zoomScale="55" zoomScaleNormal="70" zoomScaleSheetLayoutView="55" zoomScalePageLayoutView="0" workbookViewId="0" topLeftCell="A4">
      <selection activeCell="C11" sqref="C11:P44"/>
    </sheetView>
  </sheetViews>
  <sheetFormatPr defaultColWidth="9.140625" defaultRowHeight="12.75"/>
  <cols>
    <col min="1" max="1" width="5.57421875" style="278" customWidth="1"/>
    <col min="2" max="2" width="18.140625" style="278" customWidth="1"/>
    <col min="3" max="3" width="10.28125" style="278" customWidth="1"/>
    <col min="4" max="4" width="12.8515625" style="278" customWidth="1"/>
    <col min="5" max="5" width="8.7109375" style="278" customWidth="1"/>
    <col min="6" max="7" width="8.00390625" style="278" customWidth="1"/>
    <col min="8" max="10" width="8.140625" style="278" customWidth="1"/>
    <col min="11" max="11" width="8.421875" style="278" customWidth="1"/>
    <col min="12" max="12" width="8.140625" style="278" customWidth="1"/>
    <col min="13" max="13" width="11.28125" style="278" customWidth="1"/>
    <col min="14" max="14" width="11.8515625" style="278" customWidth="1"/>
    <col min="15" max="16384" width="9.140625" style="278" customWidth="1"/>
  </cols>
  <sheetData>
    <row r="1" spans="1:16" ht="12.75" customHeight="1">
      <c r="A1" s="128"/>
      <c r="B1" s="128"/>
      <c r="C1" s="128"/>
      <c r="D1" s="847"/>
      <c r="E1" s="847"/>
      <c r="F1" s="128"/>
      <c r="G1" s="128"/>
      <c r="H1" s="128"/>
      <c r="I1" s="128"/>
      <c r="J1" s="128"/>
      <c r="K1" s="128"/>
      <c r="L1" s="128"/>
      <c r="O1" s="849" t="s">
        <v>588</v>
      </c>
      <c r="P1" s="849"/>
    </row>
    <row r="2" spans="1:16" ht="15.7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16" ht="18">
      <c r="A3" s="860" t="s">
        <v>695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</row>
    <row r="4" spans="1:16" ht="9.75" customHeight="1">
      <c r="A4" s="879" t="s">
        <v>739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</row>
    <row r="5" spans="1:16" s="343" customFormat="1" ht="18.75" customHeight="1">
      <c r="A5" s="879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</row>
    <row r="6" spans="1:14" ht="12.7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14" ht="12.75">
      <c r="A7" s="855" t="s">
        <v>665</v>
      </c>
      <c r="B7" s="855"/>
      <c r="C7" s="128"/>
      <c r="D7" s="182"/>
      <c r="E7" s="128"/>
      <c r="F7" s="128"/>
      <c r="G7" s="128"/>
      <c r="H7" s="851"/>
      <c r="I7" s="851"/>
      <c r="J7" s="851"/>
      <c r="K7" s="851"/>
      <c r="L7" s="851"/>
      <c r="M7" s="851"/>
      <c r="N7" s="851"/>
    </row>
    <row r="8" spans="1:16" ht="24.75" customHeight="1">
      <c r="A8" s="862" t="s">
        <v>2</v>
      </c>
      <c r="B8" s="862" t="s">
        <v>3</v>
      </c>
      <c r="C8" s="866" t="s">
        <v>484</v>
      </c>
      <c r="D8" s="856" t="s">
        <v>80</v>
      </c>
      <c r="E8" s="852" t="s">
        <v>81</v>
      </c>
      <c r="F8" s="853"/>
      <c r="G8" s="853"/>
      <c r="H8" s="854"/>
      <c r="I8" s="769" t="s">
        <v>569</v>
      </c>
      <c r="J8" s="769"/>
      <c r="K8" s="769"/>
      <c r="L8" s="769"/>
      <c r="M8" s="769"/>
      <c r="N8" s="769"/>
      <c r="O8" s="858" t="s">
        <v>832</v>
      </c>
      <c r="P8" s="858"/>
    </row>
    <row r="9" spans="1:16" ht="44.25" customHeight="1">
      <c r="A9" s="862"/>
      <c r="B9" s="862"/>
      <c r="C9" s="867"/>
      <c r="D9" s="857"/>
      <c r="E9" s="426" t="s">
        <v>177</v>
      </c>
      <c r="F9" s="426" t="s">
        <v>110</v>
      </c>
      <c r="G9" s="426" t="s">
        <v>111</v>
      </c>
      <c r="H9" s="426" t="s">
        <v>432</v>
      </c>
      <c r="I9" s="426" t="s">
        <v>16</v>
      </c>
      <c r="J9" s="426" t="s">
        <v>570</v>
      </c>
      <c r="K9" s="426" t="s">
        <v>571</v>
      </c>
      <c r="L9" s="426" t="s">
        <v>572</v>
      </c>
      <c r="M9" s="426" t="s">
        <v>573</v>
      </c>
      <c r="N9" s="426" t="s">
        <v>574</v>
      </c>
      <c r="O9" s="426" t="s">
        <v>833</v>
      </c>
      <c r="P9" s="426" t="s">
        <v>834</v>
      </c>
    </row>
    <row r="10" spans="1:16" s="344" customFormat="1" ht="12.75">
      <c r="A10" s="426">
        <v>1</v>
      </c>
      <c r="B10" s="426">
        <v>2</v>
      </c>
      <c r="C10" s="426">
        <v>3</v>
      </c>
      <c r="D10" s="426">
        <v>8</v>
      </c>
      <c r="E10" s="426">
        <v>9</v>
      </c>
      <c r="F10" s="426">
        <v>10</v>
      </c>
      <c r="G10" s="426">
        <v>11</v>
      </c>
      <c r="H10" s="426">
        <v>12</v>
      </c>
      <c r="I10" s="426">
        <v>13</v>
      </c>
      <c r="J10" s="426">
        <v>14</v>
      </c>
      <c r="K10" s="426">
        <v>15</v>
      </c>
      <c r="L10" s="426">
        <v>16</v>
      </c>
      <c r="M10" s="426">
        <v>17</v>
      </c>
      <c r="N10" s="426">
        <v>18</v>
      </c>
      <c r="O10" s="471">
        <v>19</v>
      </c>
      <c r="P10" s="471">
        <v>20</v>
      </c>
    </row>
    <row r="11" spans="1:16" s="344" customFormat="1" ht="12.75" customHeight="1">
      <c r="A11" s="201">
        <v>1</v>
      </c>
      <c r="B11" s="201" t="s">
        <v>633</v>
      </c>
      <c r="C11" s="868" t="s">
        <v>638</v>
      </c>
      <c r="D11" s="869"/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70"/>
    </row>
    <row r="12" spans="1:16" s="344" customFormat="1" ht="12.75" customHeight="1">
      <c r="A12" s="201">
        <f>A11+1</f>
        <v>2</v>
      </c>
      <c r="B12" s="201" t="s">
        <v>598</v>
      </c>
      <c r="C12" s="871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3"/>
    </row>
    <row r="13" spans="1:16" s="344" customFormat="1" ht="12.75" customHeight="1">
      <c r="A13" s="201">
        <f aca="true" t="shared" si="0" ref="A13:A43">A12+1</f>
        <v>3</v>
      </c>
      <c r="B13" s="201" t="s">
        <v>634</v>
      </c>
      <c r="C13" s="871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3"/>
    </row>
    <row r="14" spans="1:16" s="344" customFormat="1" ht="12.75" customHeight="1">
      <c r="A14" s="201">
        <f t="shared" si="0"/>
        <v>4</v>
      </c>
      <c r="B14" s="201" t="s">
        <v>599</v>
      </c>
      <c r="C14" s="871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3"/>
    </row>
    <row r="15" spans="1:16" s="344" customFormat="1" ht="12.75" customHeight="1">
      <c r="A15" s="201">
        <f t="shared" si="0"/>
        <v>5</v>
      </c>
      <c r="B15" s="201" t="s">
        <v>600</v>
      </c>
      <c r="C15" s="871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3"/>
    </row>
    <row r="16" spans="1:16" s="344" customFormat="1" ht="12.75" customHeight="1">
      <c r="A16" s="201">
        <f t="shared" si="0"/>
        <v>6</v>
      </c>
      <c r="B16" s="201" t="s">
        <v>601</v>
      </c>
      <c r="C16" s="871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3"/>
    </row>
    <row r="17" spans="1:16" s="344" customFormat="1" ht="12.75" customHeight="1">
      <c r="A17" s="201">
        <f t="shared" si="0"/>
        <v>7</v>
      </c>
      <c r="B17" s="201" t="s">
        <v>602</v>
      </c>
      <c r="C17" s="871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3"/>
    </row>
    <row r="18" spans="1:16" s="344" customFormat="1" ht="12.75" customHeight="1">
      <c r="A18" s="201">
        <f t="shared" si="0"/>
        <v>8</v>
      </c>
      <c r="B18" s="201" t="s">
        <v>603</v>
      </c>
      <c r="C18" s="871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3"/>
    </row>
    <row r="19" spans="1:16" s="344" customFormat="1" ht="12.75" customHeight="1">
      <c r="A19" s="201">
        <f t="shared" si="0"/>
        <v>9</v>
      </c>
      <c r="B19" s="201" t="s">
        <v>604</v>
      </c>
      <c r="C19" s="871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3"/>
    </row>
    <row r="20" spans="1:16" s="344" customFormat="1" ht="12.75" customHeight="1">
      <c r="A20" s="201">
        <f t="shared" si="0"/>
        <v>10</v>
      </c>
      <c r="B20" s="201" t="s">
        <v>605</v>
      </c>
      <c r="C20" s="871"/>
      <c r="D20" s="872"/>
      <c r="E20" s="872"/>
      <c r="F20" s="872"/>
      <c r="G20" s="872"/>
      <c r="H20" s="872"/>
      <c r="I20" s="872"/>
      <c r="J20" s="872"/>
      <c r="K20" s="872"/>
      <c r="L20" s="872"/>
      <c r="M20" s="872"/>
      <c r="N20" s="872"/>
      <c r="O20" s="872"/>
      <c r="P20" s="873"/>
    </row>
    <row r="21" spans="1:16" s="344" customFormat="1" ht="12.75" customHeight="1">
      <c r="A21" s="201">
        <f t="shared" si="0"/>
        <v>11</v>
      </c>
      <c r="B21" s="201" t="s">
        <v>635</v>
      </c>
      <c r="C21" s="871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3"/>
    </row>
    <row r="22" spans="1:16" s="344" customFormat="1" ht="12.75" customHeight="1">
      <c r="A22" s="201">
        <f t="shared" si="0"/>
        <v>12</v>
      </c>
      <c r="B22" s="201" t="s">
        <v>606</v>
      </c>
      <c r="C22" s="871"/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3"/>
    </row>
    <row r="23" spans="1:16" s="344" customFormat="1" ht="12.75" customHeight="1">
      <c r="A23" s="201">
        <f t="shared" si="0"/>
        <v>13</v>
      </c>
      <c r="B23" s="201" t="s">
        <v>607</v>
      </c>
      <c r="C23" s="871"/>
      <c r="D23" s="872"/>
      <c r="E23" s="872"/>
      <c r="F23" s="872"/>
      <c r="G23" s="872"/>
      <c r="H23" s="872"/>
      <c r="I23" s="872"/>
      <c r="J23" s="872"/>
      <c r="K23" s="872"/>
      <c r="L23" s="872"/>
      <c r="M23" s="872"/>
      <c r="N23" s="872"/>
      <c r="O23" s="872"/>
      <c r="P23" s="873"/>
    </row>
    <row r="24" spans="1:16" s="344" customFormat="1" ht="12.75" customHeight="1">
      <c r="A24" s="201">
        <f t="shared" si="0"/>
        <v>14</v>
      </c>
      <c r="B24" s="201" t="s">
        <v>636</v>
      </c>
      <c r="C24" s="871"/>
      <c r="D24" s="872"/>
      <c r="E24" s="872"/>
      <c r="F24" s="872"/>
      <c r="G24" s="872"/>
      <c r="H24" s="872"/>
      <c r="I24" s="872"/>
      <c r="J24" s="872"/>
      <c r="K24" s="872"/>
      <c r="L24" s="872"/>
      <c r="M24" s="872"/>
      <c r="N24" s="872"/>
      <c r="O24" s="872"/>
      <c r="P24" s="873"/>
    </row>
    <row r="25" spans="1:16" s="344" customFormat="1" ht="12.75" customHeight="1">
      <c r="A25" s="201">
        <f t="shared" si="0"/>
        <v>15</v>
      </c>
      <c r="B25" s="201" t="s">
        <v>608</v>
      </c>
      <c r="C25" s="871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3"/>
    </row>
    <row r="26" spans="1:16" ht="12.75" customHeight="1">
      <c r="A26" s="201">
        <f t="shared" si="0"/>
        <v>16</v>
      </c>
      <c r="B26" s="201" t="s">
        <v>609</v>
      </c>
      <c r="C26" s="871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3"/>
    </row>
    <row r="27" spans="1:16" ht="12.75" customHeight="1">
      <c r="A27" s="201">
        <f t="shared" si="0"/>
        <v>17</v>
      </c>
      <c r="B27" s="269" t="s">
        <v>757</v>
      </c>
      <c r="C27" s="871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3"/>
    </row>
    <row r="28" spans="1:16" ht="12.75" customHeight="1">
      <c r="A28" s="201">
        <f t="shared" si="0"/>
        <v>18</v>
      </c>
      <c r="B28" s="201" t="s">
        <v>610</v>
      </c>
      <c r="C28" s="871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3"/>
    </row>
    <row r="29" spans="1:16" ht="12.75" customHeight="1">
      <c r="A29" s="201">
        <f t="shared" si="0"/>
        <v>19</v>
      </c>
      <c r="B29" s="201" t="s">
        <v>611</v>
      </c>
      <c r="C29" s="871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2"/>
      <c r="P29" s="873"/>
    </row>
    <row r="30" spans="1:16" ht="12.75" customHeight="1">
      <c r="A30" s="201">
        <f t="shared" si="0"/>
        <v>20</v>
      </c>
      <c r="B30" s="269" t="s">
        <v>756</v>
      </c>
      <c r="C30" s="871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3"/>
    </row>
    <row r="31" spans="1:16" ht="12.75" customHeight="1">
      <c r="A31" s="201">
        <f t="shared" si="0"/>
        <v>21</v>
      </c>
      <c r="B31" s="201" t="s">
        <v>637</v>
      </c>
      <c r="C31" s="871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3"/>
    </row>
    <row r="32" spans="1:16" ht="12.75" customHeight="1">
      <c r="A32" s="201">
        <f t="shared" si="0"/>
        <v>22</v>
      </c>
      <c r="B32" s="201" t="s">
        <v>612</v>
      </c>
      <c r="C32" s="871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3"/>
    </row>
    <row r="33" spans="1:16" ht="12.75" customHeight="1">
      <c r="A33" s="201">
        <f t="shared" si="0"/>
        <v>23</v>
      </c>
      <c r="B33" s="201" t="s">
        <v>613</v>
      </c>
      <c r="C33" s="871"/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3"/>
    </row>
    <row r="34" spans="1:16" ht="12.75" customHeight="1">
      <c r="A34" s="201">
        <f t="shared" si="0"/>
        <v>24</v>
      </c>
      <c r="B34" s="201" t="s">
        <v>614</v>
      </c>
      <c r="C34" s="871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3"/>
    </row>
    <row r="35" spans="1:16" ht="12.75" customHeight="1">
      <c r="A35" s="201">
        <f t="shared" si="0"/>
        <v>25</v>
      </c>
      <c r="B35" s="201" t="s">
        <v>615</v>
      </c>
      <c r="C35" s="871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3"/>
    </row>
    <row r="36" spans="1:16" ht="12.75" customHeight="1">
      <c r="A36" s="201">
        <f t="shared" si="0"/>
        <v>26</v>
      </c>
      <c r="B36" s="201" t="s">
        <v>616</v>
      </c>
      <c r="C36" s="871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3"/>
    </row>
    <row r="37" spans="1:16" ht="12.75" customHeight="1">
      <c r="A37" s="201">
        <f t="shared" si="0"/>
        <v>27</v>
      </c>
      <c r="B37" s="201" t="s">
        <v>617</v>
      </c>
      <c r="C37" s="871"/>
      <c r="D37" s="872"/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872"/>
      <c r="P37" s="873"/>
    </row>
    <row r="38" spans="1:16" ht="12.75" customHeight="1">
      <c r="A38" s="201">
        <f t="shared" si="0"/>
        <v>28</v>
      </c>
      <c r="B38" s="201" t="s">
        <v>618</v>
      </c>
      <c r="C38" s="871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3"/>
    </row>
    <row r="39" spans="1:16" ht="12.75" customHeight="1">
      <c r="A39" s="201">
        <f t="shared" si="0"/>
        <v>29</v>
      </c>
      <c r="B39" s="201" t="s">
        <v>619</v>
      </c>
      <c r="C39" s="871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3"/>
    </row>
    <row r="40" spans="1:16" ht="12.75" customHeight="1">
      <c r="A40" s="201">
        <f t="shared" si="0"/>
        <v>30</v>
      </c>
      <c r="B40" s="143" t="s">
        <v>620</v>
      </c>
      <c r="C40" s="871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3"/>
    </row>
    <row r="41" spans="1:16" ht="12.75" customHeight="1">
      <c r="A41" s="201">
        <f t="shared" si="0"/>
        <v>31</v>
      </c>
      <c r="B41" s="143" t="s">
        <v>621</v>
      </c>
      <c r="C41" s="871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3"/>
    </row>
    <row r="42" spans="1:16" ht="12.75" customHeight="1">
      <c r="A42" s="201">
        <f t="shared" si="0"/>
        <v>32</v>
      </c>
      <c r="B42" s="143" t="s">
        <v>622</v>
      </c>
      <c r="C42" s="871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3"/>
    </row>
    <row r="43" spans="1:16" ht="12.75" customHeight="1">
      <c r="A43" s="201">
        <f t="shared" si="0"/>
        <v>33</v>
      </c>
      <c r="B43" s="143" t="s">
        <v>623</v>
      </c>
      <c r="C43" s="871"/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3"/>
    </row>
    <row r="44" spans="1:16" ht="12.75" customHeight="1">
      <c r="A44" s="150"/>
      <c r="B44" s="150" t="s">
        <v>624</v>
      </c>
      <c r="C44" s="874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75"/>
      <c r="O44" s="875"/>
      <c r="P44" s="876"/>
    </row>
    <row r="45" spans="1:14" ht="12.75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2.75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30"/>
      <c r="B48" s="130"/>
      <c r="C48" s="128"/>
      <c r="D48" s="128"/>
      <c r="E48" s="128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4" ht="12.75">
      <c r="A49" s="128"/>
      <c r="B49" s="128"/>
      <c r="C49" s="128"/>
      <c r="D49" s="128"/>
    </row>
    <row r="50" spans="1:14" ht="12.75">
      <c r="A50" s="128"/>
      <c r="B50" s="128"/>
      <c r="C50" s="128"/>
      <c r="D50" s="128"/>
      <c r="J50" s="878" t="s">
        <v>860</v>
      </c>
      <c r="K50" s="878"/>
      <c r="L50" s="878"/>
      <c r="M50" s="878"/>
      <c r="N50" s="878"/>
    </row>
    <row r="51" spans="1:14" ht="12.75">
      <c r="A51" s="128"/>
      <c r="B51" s="128"/>
      <c r="C51" s="128"/>
      <c r="D51" s="128"/>
      <c r="J51" s="878" t="s">
        <v>653</v>
      </c>
      <c r="K51" s="878"/>
      <c r="L51" s="878"/>
      <c r="M51" s="878"/>
      <c r="N51" s="878"/>
    </row>
  </sheetData>
  <sheetProtection/>
  <mergeCells count="18">
    <mergeCell ref="J51:N51"/>
    <mergeCell ref="A7:B7"/>
    <mergeCell ref="H7:N7"/>
    <mergeCell ref="A8:A9"/>
    <mergeCell ref="B8:B9"/>
    <mergeCell ref="C8:C9"/>
    <mergeCell ref="D8:D9"/>
    <mergeCell ref="E8:H8"/>
    <mergeCell ref="I8:N8"/>
    <mergeCell ref="C11:P44"/>
    <mergeCell ref="A4:P5"/>
    <mergeCell ref="A6:N6"/>
    <mergeCell ref="D1:E1"/>
    <mergeCell ref="O1:P1"/>
    <mergeCell ref="J50:N50"/>
    <mergeCell ref="O8:P8"/>
    <mergeCell ref="A2:P2"/>
    <mergeCell ref="A3:P3"/>
  </mergeCells>
  <printOptions horizontalCentered="1"/>
  <pageMargins left="0.44" right="0.41" top="0.45" bottom="0" header="0.31496062992125984" footer="0.31496062992125984"/>
  <pageSetup fitToHeight="1" fitToWidth="1"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zoomScale="70" zoomScaleNormal="70" zoomScaleSheetLayoutView="55" zoomScalePageLayoutView="0" workbookViewId="0" topLeftCell="A13">
      <selection activeCell="N32" sqref="N32"/>
    </sheetView>
  </sheetViews>
  <sheetFormatPr defaultColWidth="9.140625" defaultRowHeight="12.75"/>
  <cols>
    <col min="1" max="1" width="9.140625" style="226" customWidth="1"/>
    <col min="2" max="2" width="18.28125" style="226" customWidth="1"/>
    <col min="3" max="4" width="8.57421875" style="226" customWidth="1"/>
    <col min="5" max="5" width="8.7109375" style="226" customWidth="1"/>
    <col min="6" max="6" width="8.57421875" style="226" customWidth="1"/>
    <col min="7" max="7" width="9.7109375" style="226" customWidth="1"/>
    <col min="8" max="8" width="10.28125" style="226" customWidth="1"/>
    <col min="9" max="9" width="9.7109375" style="226" customWidth="1"/>
    <col min="10" max="10" width="9.28125" style="226" customWidth="1"/>
    <col min="11" max="11" width="7.00390625" style="226" customWidth="1"/>
    <col min="12" max="12" width="7.28125" style="226" customWidth="1"/>
    <col min="13" max="13" width="7.421875" style="226" customWidth="1"/>
    <col min="14" max="14" width="7.8515625" style="226" customWidth="1"/>
    <col min="15" max="15" width="11.421875" style="226" customWidth="1"/>
    <col min="16" max="16" width="12.28125" style="226" customWidth="1"/>
    <col min="17" max="17" width="11.57421875" style="226" customWidth="1"/>
    <col min="18" max="18" width="19.28125" style="226" customWidth="1"/>
    <col min="19" max="19" width="9.00390625" style="226" customWidth="1"/>
    <col min="20" max="20" width="9.140625" style="226" hidden="1" customWidth="1"/>
    <col min="21" max="16384" width="9.140625" style="226" customWidth="1"/>
  </cols>
  <sheetData>
    <row r="1" spans="7:19" s="6" customFormat="1" ht="15.75">
      <c r="G1" s="562" t="s">
        <v>0</v>
      </c>
      <c r="H1" s="562"/>
      <c r="I1" s="562"/>
      <c r="J1" s="562"/>
      <c r="K1" s="562"/>
      <c r="L1" s="562"/>
      <c r="M1" s="562"/>
      <c r="N1" s="155"/>
      <c r="O1" s="155"/>
      <c r="R1" s="25" t="s">
        <v>534</v>
      </c>
      <c r="S1" s="25"/>
    </row>
    <row r="2" spans="2:15" s="6" customFormat="1" ht="20.25">
      <c r="B2" s="169"/>
      <c r="E2" s="563" t="s">
        <v>695</v>
      </c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2:10" s="6" customFormat="1" ht="20.25">
      <c r="B3" s="156"/>
      <c r="C3" s="156"/>
      <c r="D3" s="156"/>
      <c r="E3" s="156"/>
      <c r="F3" s="156"/>
      <c r="G3" s="156"/>
      <c r="H3" s="156"/>
      <c r="I3" s="156"/>
      <c r="J3" s="156"/>
    </row>
    <row r="4" spans="2:20" ht="18">
      <c r="B4" s="880" t="s">
        <v>740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</row>
    <row r="5" spans="3:20" ht="14.25">
      <c r="C5" s="227"/>
      <c r="D5" s="227"/>
      <c r="E5" s="227"/>
      <c r="F5" s="227"/>
      <c r="G5" s="227"/>
      <c r="H5" s="227"/>
      <c r="M5" s="227"/>
      <c r="N5" s="227"/>
      <c r="O5" s="227"/>
      <c r="P5" s="227"/>
      <c r="Q5" s="227"/>
      <c r="R5" s="227"/>
      <c r="S5" s="227"/>
      <c r="T5" s="227"/>
    </row>
    <row r="6" spans="1:2" ht="14.25">
      <c r="A6" s="559" t="s">
        <v>665</v>
      </c>
      <c r="B6" s="559"/>
    </row>
    <row r="7" ht="14.25">
      <c r="B7" s="228"/>
    </row>
    <row r="8" spans="1:18" s="229" customFormat="1" ht="42" customHeight="1">
      <c r="A8" s="530" t="s">
        <v>2</v>
      </c>
      <c r="B8" s="881" t="s">
        <v>3</v>
      </c>
      <c r="C8" s="892" t="s">
        <v>238</v>
      </c>
      <c r="D8" s="892"/>
      <c r="E8" s="892"/>
      <c r="F8" s="892"/>
      <c r="G8" s="889" t="s">
        <v>835</v>
      </c>
      <c r="H8" s="890"/>
      <c r="I8" s="890"/>
      <c r="J8" s="893"/>
      <c r="K8" s="889" t="s">
        <v>206</v>
      </c>
      <c r="L8" s="890"/>
      <c r="M8" s="890"/>
      <c r="N8" s="893"/>
      <c r="O8" s="889" t="s">
        <v>102</v>
      </c>
      <c r="P8" s="890"/>
      <c r="Q8" s="890"/>
      <c r="R8" s="891"/>
    </row>
    <row r="9" spans="1:19" s="231" customFormat="1" ht="62.25" customHeight="1">
      <c r="A9" s="530"/>
      <c r="B9" s="882"/>
      <c r="C9" s="186" t="s">
        <v>88</v>
      </c>
      <c r="D9" s="186" t="s">
        <v>92</v>
      </c>
      <c r="E9" s="186" t="s">
        <v>93</v>
      </c>
      <c r="F9" s="186" t="s">
        <v>16</v>
      </c>
      <c r="G9" s="186" t="s">
        <v>88</v>
      </c>
      <c r="H9" s="186" t="s">
        <v>92</v>
      </c>
      <c r="I9" s="186" t="s">
        <v>93</v>
      </c>
      <c r="J9" s="186" t="s">
        <v>16</v>
      </c>
      <c r="K9" s="186" t="s">
        <v>88</v>
      </c>
      <c r="L9" s="186" t="s">
        <v>92</v>
      </c>
      <c r="M9" s="186" t="s">
        <v>93</v>
      </c>
      <c r="N9" s="186" t="s">
        <v>16</v>
      </c>
      <c r="O9" s="186" t="s">
        <v>138</v>
      </c>
      <c r="P9" s="186" t="s">
        <v>139</v>
      </c>
      <c r="Q9" s="185" t="s">
        <v>140</v>
      </c>
      <c r="R9" s="186" t="s">
        <v>141</v>
      </c>
      <c r="S9" s="230"/>
    </row>
    <row r="10" spans="1:18" s="232" customFormat="1" ht="15.75" customHeight="1">
      <c r="A10" s="1">
        <v>1</v>
      </c>
      <c r="B10" s="187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86">
        <v>8</v>
      </c>
      <c r="I10" s="186">
        <v>9</v>
      </c>
      <c r="J10" s="186">
        <v>10</v>
      </c>
      <c r="K10" s="186">
        <v>11</v>
      </c>
      <c r="L10" s="186">
        <v>12</v>
      </c>
      <c r="M10" s="186">
        <v>13</v>
      </c>
      <c r="N10" s="186">
        <v>14</v>
      </c>
      <c r="O10" s="186">
        <v>15</v>
      </c>
      <c r="P10" s="186">
        <v>16</v>
      </c>
      <c r="Q10" s="186">
        <v>17</v>
      </c>
      <c r="R10" s="187">
        <v>18</v>
      </c>
    </row>
    <row r="11" spans="1:18" s="232" customFormat="1" ht="15.75" customHeight="1">
      <c r="A11" s="201">
        <v>1</v>
      </c>
      <c r="B11" s="201" t="s">
        <v>633</v>
      </c>
      <c r="C11" s="494">
        <v>1131</v>
      </c>
      <c r="D11" s="494">
        <v>4</v>
      </c>
      <c r="E11" s="494">
        <v>0</v>
      </c>
      <c r="F11" s="496">
        <f aca="true" t="shared" si="0" ref="F11:F16">SUM(C11:E11)</f>
        <v>1135</v>
      </c>
      <c r="G11" s="496"/>
      <c r="H11" s="496"/>
      <c r="I11" s="496"/>
      <c r="J11" s="883">
        <v>3206</v>
      </c>
      <c r="K11" s="496"/>
      <c r="L11" s="496"/>
      <c r="M11" s="496"/>
      <c r="N11" s="497">
        <v>161</v>
      </c>
      <c r="O11" s="496"/>
      <c r="P11" s="496"/>
      <c r="Q11" s="496"/>
      <c r="R11" s="496">
        <v>0</v>
      </c>
    </row>
    <row r="12" spans="1:18" s="232" customFormat="1" ht="15.75" customHeight="1">
      <c r="A12" s="201">
        <f>A11+1</f>
        <v>2</v>
      </c>
      <c r="B12" s="201" t="s">
        <v>635</v>
      </c>
      <c r="C12" s="494">
        <v>1018</v>
      </c>
      <c r="D12" s="494">
        <v>11</v>
      </c>
      <c r="E12" s="494">
        <v>0</v>
      </c>
      <c r="F12" s="496">
        <f t="shared" si="0"/>
        <v>1029</v>
      </c>
      <c r="G12" s="496"/>
      <c r="H12" s="496"/>
      <c r="I12" s="496"/>
      <c r="J12" s="884"/>
      <c r="K12" s="496"/>
      <c r="L12" s="496"/>
      <c r="M12" s="496"/>
      <c r="N12" s="497">
        <v>98</v>
      </c>
      <c r="O12" s="496"/>
      <c r="P12" s="496"/>
      <c r="Q12" s="496"/>
      <c r="R12" s="496">
        <v>0</v>
      </c>
    </row>
    <row r="13" spans="1:18" s="232" customFormat="1" ht="15.75" customHeight="1">
      <c r="A13" s="201">
        <f aca="true" t="shared" si="1" ref="A13:A43">A12+1</f>
        <v>3</v>
      </c>
      <c r="B13" s="201" t="s">
        <v>636</v>
      </c>
      <c r="C13" s="494">
        <v>752</v>
      </c>
      <c r="D13" s="494">
        <v>14</v>
      </c>
      <c r="E13" s="494">
        <v>0</v>
      </c>
      <c r="F13" s="496">
        <f t="shared" si="0"/>
        <v>766</v>
      </c>
      <c r="G13" s="496"/>
      <c r="H13" s="496"/>
      <c r="I13" s="496"/>
      <c r="J13" s="884"/>
      <c r="K13" s="496"/>
      <c r="L13" s="496"/>
      <c r="M13" s="496"/>
      <c r="N13" s="497">
        <v>156</v>
      </c>
      <c r="O13" s="496"/>
      <c r="P13" s="496"/>
      <c r="Q13" s="496"/>
      <c r="R13" s="496">
        <v>0</v>
      </c>
    </row>
    <row r="14" spans="1:18" s="232" customFormat="1" ht="15.75" customHeight="1">
      <c r="A14" s="201">
        <f t="shared" si="1"/>
        <v>4</v>
      </c>
      <c r="B14" s="201" t="s">
        <v>637</v>
      </c>
      <c r="C14" s="494">
        <v>777</v>
      </c>
      <c r="D14" s="494">
        <v>0</v>
      </c>
      <c r="E14" s="494">
        <v>0</v>
      </c>
      <c r="F14" s="496">
        <f t="shared" si="0"/>
        <v>777</v>
      </c>
      <c r="G14" s="496"/>
      <c r="H14" s="496"/>
      <c r="I14" s="496"/>
      <c r="J14" s="885"/>
      <c r="K14" s="496"/>
      <c r="L14" s="496"/>
      <c r="M14" s="496"/>
      <c r="N14" s="497">
        <v>166</v>
      </c>
      <c r="O14" s="496"/>
      <c r="P14" s="496"/>
      <c r="Q14" s="496"/>
      <c r="R14" s="496">
        <v>0</v>
      </c>
    </row>
    <row r="15" spans="1:18" s="232" customFormat="1" ht="15.75" customHeight="1">
      <c r="A15" s="201">
        <f t="shared" si="1"/>
        <v>5</v>
      </c>
      <c r="B15" s="201" t="s">
        <v>598</v>
      </c>
      <c r="C15" s="494">
        <v>1269</v>
      </c>
      <c r="D15" s="494">
        <v>30</v>
      </c>
      <c r="E15" s="494">
        <v>0</v>
      </c>
      <c r="F15" s="496">
        <f t="shared" si="0"/>
        <v>1299</v>
      </c>
      <c r="G15" s="496"/>
      <c r="H15" s="496"/>
      <c r="I15" s="496"/>
      <c r="J15" s="883">
        <v>3557</v>
      </c>
      <c r="K15" s="496"/>
      <c r="L15" s="496"/>
      <c r="M15" s="496"/>
      <c r="N15" s="497">
        <v>157</v>
      </c>
      <c r="O15" s="496"/>
      <c r="P15" s="496"/>
      <c r="Q15" s="496"/>
      <c r="R15" s="496">
        <v>0</v>
      </c>
    </row>
    <row r="16" spans="1:18" s="232" customFormat="1" ht="15.75" customHeight="1">
      <c r="A16" s="201">
        <f t="shared" si="1"/>
        <v>6</v>
      </c>
      <c r="B16" s="201" t="s">
        <v>605</v>
      </c>
      <c r="C16" s="494">
        <v>1230</v>
      </c>
      <c r="D16" s="494">
        <v>24</v>
      </c>
      <c r="E16" s="494">
        <v>0</v>
      </c>
      <c r="F16" s="496">
        <f t="shared" si="0"/>
        <v>1254</v>
      </c>
      <c r="G16" s="496"/>
      <c r="H16" s="496"/>
      <c r="I16" s="496"/>
      <c r="J16" s="885"/>
      <c r="K16" s="496"/>
      <c r="L16" s="496"/>
      <c r="M16" s="496"/>
      <c r="N16" s="497">
        <v>124</v>
      </c>
      <c r="O16" s="496"/>
      <c r="P16" s="496"/>
      <c r="Q16" s="496"/>
      <c r="R16" s="496">
        <v>0</v>
      </c>
    </row>
    <row r="17" spans="1:18" s="232" customFormat="1" ht="15.75" customHeight="1">
      <c r="A17" s="201">
        <f t="shared" si="1"/>
        <v>7</v>
      </c>
      <c r="B17" s="201" t="s">
        <v>634</v>
      </c>
      <c r="C17" s="494">
        <v>0</v>
      </c>
      <c r="D17" s="494">
        <v>0</v>
      </c>
      <c r="E17" s="494">
        <v>0</v>
      </c>
      <c r="F17" s="496">
        <v>0</v>
      </c>
      <c r="G17" s="496"/>
      <c r="H17" s="496"/>
      <c r="I17" s="496"/>
      <c r="J17" s="516"/>
      <c r="K17" s="496"/>
      <c r="L17" s="496"/>
      <c r="M17" s="496"/>
      <c r="N17" s="497">
        <v>0</v>
      </c>
      <c r="O17" s="496"/>
      <c r="P17" s="496"/>
      <c r="Q17" s="496"/>
      <c r="R17" s="496">
        <v>0</v>
      </c>
    </row>
    <row r="18" spans="1:18" s="232" customFormat="1" ht="15.75" customHeight="1">
      <c r="A18" s="201">
        <f t="shared" si="1"/>
        <v>8</v>
      </c>
      <c r="B18" s="201" t="s">
        <v>604</v>
      </c>
      <c r="C18" s="494">
        <v>662</v>
      </c>
      <c r="D18" s="494">
        <v>14</v>
      </c>
      <c r="E18" s="494">
        <v>0</v>
      </c>
      <c r="F18" s="496">
        <f aca="true" t="shared" si="2" ref="F18:F25">SUM(C18:E18)</f>
        <v>676</v>
      </c>
      <c r="G18" s="496"/>
      <c r="H18" s="496"/>
      <c r="I18" s="496"/>
      <c r="J18" s="883">
        <v>2535</v>
      </c>
      <c r="K18" s="496"/>
      <c r="L18" s="496"/>
      <c r="M18" s="496"/>
      <c r="N18" s="497">
        <v>133</v>
      </c>
      <c r="O18" s="496"/>
      <c r="P18" s="496"/>
      <c r="Q18" s="496"/>
      <c r="R18" s="496">
        <v>0</v>
      </c>
    </row>
    <row r="19" spans="1:18" s="232" customFormat="1" ht="15.75" customHeight="1">
      <c r="A19" s="201">
        <f t="shared" si="1"/>
        <v>9</v>
      </c>
      <c r="B19" s="201" t="s">
        <v>599</v>
      </c>
      <c r="C19" s="494">
        <v>796</v>
      </c>
      <c r="D19" s="494">
        <v>3</v>
      </c>
      <c r="E19" s="494">
        <v>0</v>
      </c>
      <c r="F19" s="496">
        <f t="shared" si="2"/>
        <v>799</v>
      </c>
      <c r="G19" s="496"/>
      <c r="H19" s="496"/>
      <c r="I19" s="496"/>
      <c r="J19" s="884"/>
      <c r="K19" s="496"/>
      <c r="L19" s="496"/>
      <c r="M19" s="496"/>
      <c r="N19" s="497">
        <v>179</v>
      </c>
      <c r="O19" s="496"/>
      <c r="P19" s="496"/>
      <c r="Q19" s="496"/>
      <c r="R19" s="496">
        <v>0</v>
      </c>
    </row>
    <row r="20" spans="1:18" s="232" customFormat="1" ht="15.75" customHeight="1">
      <c r="A20" s="201">
        <f t="shared" si="1"/>
        <v>10</v>
      </c>
      <c r="B20" s="201" t="s">
        <v>613</v>
      </c>
      <c r="C20" s="494">
        <v>542</v>
      </c>
      <c r="D20" s="494">
        <v>7</v>
      </c>
      <c r="E20" s="494">
        <v>0</v>
      </c>
      <c r="F20" s="496">
        <f t="shared" si="2"/>
        <v>549</v>
      </c>
      <c r="G20" s="496"/>
      <c r="H20" s="496"/>
      <c r="I20" s="496"/>
      <c r="J20" s="884"/>
      <c r="K20" s="496"/>
      <c r="L20" s="496"/>
      <c r="M20" s="496"/>
      <c r="N20" s="373">
        <v>74</v>
      </c>
      <c r="O20" s="496"/>
      <c r="P20" s="496"/>
      <c r="Q20" s="496"/>
      <c r="R20" s="496">
        <v>0</v>
      </c>
    </row>
    <row r="21" spans="1:18" s="232" customFormat="1" ht="15.75" customHeight="1">
      <c r="A21" s="201">
        <f t="shared" si="1"/>
        <v>11</v>
      </c>
      <c r="B21" s="201" t="s">
        <v>614</v>
      </c>
      <c r="C21" s="494">
        <v>496</v>
      </c>
      <c r="D21" s="494">
        <v>3</v>
      </c>
      <c r="E21" s="494">
        <v>0</v>
      </c>
      <c r="F21" s="496">
        <f t="shared" si="2"/>
        <v>499</v>
      </c>
      <c r="G21" s="496"/>
      <c r="H21" s="496"/>
      <c r="I21" s="496"/>
      <c r="J21" s="885"/>
      <c r="K21" s="496"/>
      <c r="L21" s="496"/>
      <c r="M21" s="496"/>
      <c r="N21" s="373">
        <v>110</v>
      </c>
      <c r="O21" s="496"/>
      <c r="P21" s="496"/>
      <c r="Q21" s="496"/>
      <c r="R21" s="496">
        <v>0</v>
      </c>
    </row>
    <row r="22" spans="1:45" s="233" customFormat="1" ht="14.25">
      <c r="A22" s="201">
        <f t="shared" si="1"/>
        <v>12</v>
      </c>
      <c r="B22" s="143" t="s">
        <v>622</v>
      </c>
      <c r="C22" s="492">
        <v>458</v>
      </c>
      <c r="D22" s="492">
        <v>52</v>
      </c>
      <c r="E22" s="494">
        <v>0</v>
      </c>
      <c r="F22" s="496">
        <f t="shared" si="2"/>
        <v>510</v>
      </c>
      <c r="G22" s="499"/>
      <c r="H22" s="499"/>
      <c r="I22" s="499"/>
      <c r="J22" s="886">
        <v>3861</v>
      </c>
      <c r="K22" s="499"/>
      <c r="L22" s="499"/>
      <c r="M22" s="496"/>
      <c r="N22" s="373">
        <v>62</v>
      </c>
      <c r="O22" s="496"/>
      <c r="P22" s="496"/>
      <c r="Q22" s="496"/>
      <c r="R22" s="496">
        <v>0</v>
      </c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</row>
    <row r="23" spans="1:18" ht="14.25">
      <c r="A23" s="201">
        <f t="shared" si="1"/>
        <v>13</v>
      </c>
      <c r="B23" s="143" t="s">
        <v>621</v>
      </c>
      <c r="C23" s="492">
        <v>645</v>
      </c>
      <c r="D23" s="492">
        <v>9</v>
      </c>
      <c r="E23" s="494">
        <v>0</v>
      </c>
      <c r="F23" s="496">
        <f t="shared" si="2"/>
        <v>654</v>
      </c>
      <c r="G23" s="499"/>
      <c r="H23" s="499"/>
      <c r="I23" s="499"/>
      <c r="J23" s="887"/>
      <c r="K23" s="499"/>
      <c r="L23" s="499"/>
      <c r="M23" s="496"/>
      <c r="N23" s="373">
        <v>101</v>
      </c>
      <c r="O23" s="496"/>
      <c r="P23" s="496"/>
      <c r="Q23" s="496"/>
      <c r="R23" s="496">
        <v>0</v>
      </c>
    </row>
    <row r="24" spans="1:18" s="232" customFormat="1" ht="15.75" customHeight="1">
      <c r="A24" s="201">
        <f t="shared" si="1"/>
        <v>14</v>
      </c>
      <c r="B24" s="201" t="s">
        <v>600</v>
      </c>
      <c r="C24" s="494">
        <v>514</v>
      </c>
      <c r="D24" s="494">
        <v>10</v>
      </c>
      <c r="E24" s="494">
        <v>0</v>
      </c>
      <c r="F24" s="496">
        <f t="shared" si="2"/>
        <v>524</v>
      </c>
      <c r="G24" s="496"/>
      <c r="H24" s="496"/>
      <c r="I24" s="496"/>
      <c r="J24" s="887"/>
      <c r="K24" s="496"/>
      <c r="L24" s="496"/>
      <c r="M24" s="496"/>
      <c r="N24" s="497">
        <v>79</v>
      </c>
      <c r="O24" s="496"/>
      <c r="P24" s="496"/>
      <c r="Q24" s="496"/>
      <c r="R24" s="496">
        <v>0</v>
      </c>
    </row>
    <row r="25" spans="1:18" s="232" customFormat="1" ht="15.75" customHeight="1">
      <c r="A25" s="201">
        <f t="shared" si="1"/>
        <v>15</v>
      </c>
      <c r="B25" s="201" t="s">
        <v>601</v>
      </c>
      <c r="C25" s="494">
        <v>823</v>
      </c>
      <c r="D25" s="494">
        <v>1</v>
      </c>
      <c r="E25" s="494">
        <v>0</v>
      </c>
      <c r="F25" s="496">
        <f t="shared" si="2"/>
        <v>824</v>
      </c>
      <c r="G25" s="496"/>
      <c r="H25" s="496"/>
      <c r="I25" s="496"/>
      <c r="J25" s="887"/>
      <c r="K25" s="496"/>
      <c r="L25" s="496"/>
      <c r="M25" s="496"/>
      <c r="N25" s="497">
        <v>94</v>
      </c>
      <c r="O25" s="496"/>
      <c r="P25" s="496"/>
      <c r="Q25" s="496"/>
      <c r="R25" s="496">
        <v>0</v>
      </c>
    </row>
    <row r="26" spans="1:18" s="232" customFormat="1" ht="15.75" customHeight="1">
      <c r="A26" s="201">
        <f t="shared" si="1"/>
        <v>16</v>
      </c>
      <c r="B26" s="201" t="s">
        <v>606</v>
      </c>
      <c r="C26" s="494">
        <v>913</v>
      </c>
      <c r="D26" s="494">
        <v>5</v>
      </c>
      <c r="E26" s="494">
        <v>0</v>
      </c>
      <c r="F26" s="496">
        <f aca="true" t="shared" si="3" ref="F26:F35">SUM(C26:E26)</f>
        <v>918</v>
      </c>
      <c r="G26" s="496"/>
      <c r="H26" s="496"/>
      <c r="I26" s="496"/>
      <c r="J26" s="887"/>
      <c r="K26" s="496"/>
      <c r="L26" s="496"/>
      <c r="M26" s="496"/>
      <c r="N26" s="497">
        <v>90</v>
      </c>
      <c r="O26" s="496"/>
      <c r="P26" s="496"/>
      <c r="Q26" s="496"/>
      <c r="R26" s="496">
        <v>0</v>
      </c>
    </row>
    <row r="27" spans="1:18" s="232" customFormat="1" ht="15.75" customHeight="1">
      <c r="A27" s="201">
        <f>A34+1</f>
        <v>18</v>
      </c>
      <c r="B27" s="269" t="s">
        <v>757</v>
      </c>
      <c r="C27" s="495">
        <v>0</v>
      </c>
      <c r="D27" s="495">
        <v>0</v>
      </c>
      <c r="E27" s="494">
        <v>0</v>
      </c>
      <c r="F27" s="496">
        <f t="shared" si="3"/>
        <v>0</v>
      </c>
      <c r="G27" s="496"/>
      <c r="H27" s="496"/>
      <c r="I27" s="496"/>
      <c r="J27" s="888"/>
      <c r="K27" s="496"/>
      <c r="L27" s="498"/>
      <c r="M27" s="496"/>
      <c r="N27" s="498">
        <v>0</v>
      </c>
      <c r="O27" s="496"/>
      <c r="P27" s="496"/>
      <c r="Q27" s="496"/>
      <c r="R27" s="496">
        <v>0</v>
      </c>
    </row>
    <row r="28" spans="1:18" s="232" customFormat="1" ht="15.75" customHeight="1">
      <c r="A28" s="201">
        <f t="shared" si="1"/>
        <v>19</v>
      </c>
      <c r="B28" s="201" t="s">
        <v>612</v>
      </c>
      <c r="C28" s="494">
        <v>1150</v>
      </c>
      <c r="D28" s="494">
        <v>40</v>
      </c>
      <c r="E28" s="494">
        <v>0</v>
      </c>
      <c r="F28" s="496">
        <f t="shared" si="3"/>
        <v>1190</v>
      </c>
      <c r="G28" s="496"/>
      <c r="H28" s="496"/>
      <c r="I28" s="496"/>
      <c r="J28" s="883">
        <v>2341</v>
      </c>
      <c r="K28" s="496"/>
      <c r="L28" s="496"/>
      <c r="M28" s="496"/>
      <c r="N28" s="497">
        <v>85</v>
      </c>
      <c r="O28" s="496"/>
      <c r="P28" s="496"/>
      <c r="Q28" s="496"/>
      <c r="R28" s="496">
        <v>0</v>
      </c>
    </row>
    <row r="29" spans="1:18" s="232" customFormat="1" ht="15.75" customHeight="1">
      <c r="A29" s="201">
        <f t="shared" si="1"/>
        <v>20</v>
      </c>
      <c r="B29" s="201" t="s">
        <v>603</v>
      </c>
      <c r="C29" s="494">
        <v>1002</v>
      </c>
      <c r="D29" s="494">
        <v>5</v>
      </c>
      <c r="E29" s="494">
        <v>0</v>
      </c>
      <c r="F29" s="496">
        <f t="shared" si="3"/>
        <v>1007</v>
      </c>
      <c r="G29" s="496"/>
      <c r="H29" s="496"/>
      <c r="I29" s="496"/>
      <c r="J29" s="885"/>
      <c r="K29" s="496"/>
      <c r="L29" s="496"/>
      <c r="M29" s="496"/>
      <c r="N29" s="497">
        <v>78</v>
      </c>
      <c r="O29" s="496"/>
      <c r="P29" s="496"/>
      <c r="Q29" s="496"/>
      <c r="R29" s="496">
        <v>0</v>
      </c>
    </row>
    <row r="30" spans="1:18" s="232" customFormat="1" ht="15.75" customHeight="1">
      <c r="A30" s="201">
        <f t="shared" si="1"/>
        <v>21</v>
      </c>
      <c r="B30" s="201" t="s">
        <v>607</v>
      </c>
      <c r="C30" s="494">
        <v>1311</v>
      </c>
      <c r="D30" s="494">
        <v>16</v>
      </c>
      <c r="E30" s="494">
        <v>0</v>
      </c>
      <c r="F30" s="496">
        <f t="shared" si="3"/>
        <v>1327</v>
      </c>
      <c r="G30" s="496"/>
      <c r="H30" s="496"/>
      <c r="I30" s="496"/>
      <c r="J30" s="883">
        <v>4082</v>
      </c>
      <c r="K30" s="496"/>
      <c r="L30" s="496"/>
      <c r="M30" s="496"/>
      <c r="N30" s="497">
        <v>181</v>
      </c>
      <c r="O30" s="496"/>
      <c r="P30" s="496"/>
      <c r="Q30" s="496"/>
      <c r="R30" s="496">
        <v>0</v>
      </c>
    </row>
    <row r="31" spans="1:18" s="232" customFormat="1" ht="15.75" customHeight="1">
      <c r="A31" s="201">
        <f t="shared" si="1"/>
        <v>22</v>
      </c>
      <c r="B31" s="269" t="s">
        <v>756</v>
      </c>
      <c r="C31" s="495">
        <v>0</v>
      </c>
      <c r="D31" s="495">
        <v>0</v>
      </c>
      <c r="E31" s="494">
        <v>0</v>
      </c>
      <c r="F31" s="496">
        <f t="shared" si="3"/>
        <v>0</v>
      </c>
      <c r="G31" s="496"/>
      <c r="H31" s="496"/>
      <c r="I31" s="496"/>
      <c r="J31" s="884"/>
      <c r="K31" s="496"/>
      <c r="L31" s="498"/>
      <c r="M31" s="496"/>
      <c r="N31" s="498">
        <v>0</v>
      </c>
      <c r="O31" s="496"/>
      <c r="P31" s="496"/>
      <c r="Q31" s="496"/>
      <c r="R31" s="496">
        <v>0</v>
      </c>
    </row>
    <row r="32" spans="1:18" s="232" customFormat="1" ht="15.75" customHeight="1">
      <c r="A32" s="201">
        <f t="shared" si="1"/>
        <v>23</v>
      </c>
      <c r="B32" s="201" t="s">
        <v>610</v>
      </c>
      <c r="C32" s="494">
        <v>824</v>
      </c>
      <c r="D32" s="494">
        <v>14</v>
      </c>
      <c r="E32" s="494">
        <v>0</v>
      </c>
      <c r="F32" s="496">
        <f t="shared" si="3"/>
        <v>838</v>
      </c>
      <c r="G32" s="496"/>
      <c r="H32" s="496"/>
      <c r="I32" s="496"/>
      <c r="J32" s="884"/>
      <c r="K32" s="496"/>
      <c r="L32" s="496"/>
      <c r="M32" s="496"/>
      <c r="N32" s="497">
        <v>100</v>
      </c>
      <c r="O32" s="496"/>
      <c r="P32" s="496"/>
      <c r="Q32" s="496"/>
      <c r="R32" s="496">
        <v>0</v>
      </c>
    </row>
    <row r="33" spans="1:18" ht="14.25">
      <c r="A33" s="201">
        <f t="shared" si="1"/>
        <v>24</v>
      </c>
      <c r="B33" s="143" t="s">
        <v>620</v>
      </c>
      <c r="C33" s="492">
        <v>511</v>
      </c>
      <c r="D33" s="492">
        <v>3</v>
      </c>
      <c r="E33" s="494">
        <v>0</v>
      </c>
      <c r="F33" s="496">
        <f t="shared" si="3"/>
        <v>514</v>
      </c>
      <c r="G33" s="499"/>
      <c r="H33" s="499"/>
      <c r="I33" s="499"/>
      <c r="J33" s="884"/>
      <c r="K33" s="499"/>
      <c r="L33" s="499"/>
      <c r="M33" s="496"/>
      <c r="N33" s="373">
        <v>133</v>
      </c>
      <c r="O33" s="496"/>
      <c r="P33" s="496"/>
      <c r="Q33" s="496"/>
      <c r="R33" s="496">
        <v>0</v>
      </c>
    </row>
    <row r="34" spans="1:18" s="232" customFormat="1" ht="15.75" customHeight="1">
      <c r="A34" s="201">
        <f>A26+1</f>
        <v>17</v>
      </c>
      <c r="B34" s="201" t="s">
        <v>602</v>
      </c>
      <c r="C34" s="494">
        <v>460</v>
      </c>
      <c r="D34" s="494">
        <v>2</v>
      </c>
      <c r="E34" s="494">
        <v>0</v>
      </c>
      <c r="F34" s="496">
        <f t="shared" si="3"/>
        <v>462</v>
      </c>
      <c r="G34" s="496"/>
      <c r="H34" s="496"/>
      <c r="I34" s="496"/>
      <c r="J34" s="885"/>
      <c r="K34" s="496"/>
      <c r="L34" s="496"/>
      <c r="M34" s="496"/>
      <c r="N34" s="497">
        <v>59</v>
      </c>
      <c r="O34" s="496"/>
      <c r="P34" s="496"/>
      <c r="Q34" s="496"/>
      <c r="R34" s="496">
        <v>0</v>
      </c>
    </row>
    <row r="35" spans="1:18" s="232" customFormat="1" ht="15.75" customHeight="1">
      <c r="A35" s="201">
        <f>A33+1</f>
        <v>25</v>
      </c>
      <c r="B35" s="201" t="s">
        <v>616</v>
      </c>
      <c r="C35" s="494">
        <v>1272</v>
      </c>
      <c r="D35" s="494">
        <v>5</v>
      </c>
      <c r="E35" s="494">
        <v>0</v>
      </c>
      <c r="F35" s="496">
        <f t="shared" si="3"/>
        <v>1277</v>
      </c>
      <c r="G35" s="496"/>
      <c r="H35" s="496"/>
      <c r="I35" s="496"/>
      <c r="J35" s="883">
        <v>3699</v>
      </c>
      <c r="K35" s="496"/>
      <c r="L35" s="496"/>
      <c r="M35" s="496"/>
      <c r="N35" s="373">
        <v>284</v>
      </c>
      <c r="O35" s="496"/>
      <c r="P35" s="496"/>
      <c r="Q35" s="496"/>
      <c r="R35" s="496">
        <v>0</v>
      </c>
    </row>
    <row r="36" spans="1:18" s="232" customFormat="1" ht="15.75" customHeight="1">
      <c r="A36" s="201">
        <f t="shared" si="1"/>
        <v>26</v>
      </c>
      <c r="B36" s="201" t="s">
        <v>608</v>
      </c>
      <c r="C36" s="494">
        <v>905</v>
      </c>
      <c r="D36" s="494">
        <v>2</v>
      </c>
      <c r="E36" s="494">
        <v>0</v>
      </c>
      <c r="F36" s="496">
        <f aca="true" t="shared" si="4" ref="F36:F43">SUM(C36:E36)</f>
        <v>907</v>
      </c>
      <c r="G36" s="496"/>
      <c r="H36" s="496"/>
      <c r="I36" s="496"/>
      <c r="J36" s="884"/>
      <c r="K36" s="496"/>
      <c r="L36" s="496"/>
      <c r="M36" s="496"/>
      <c r="N36" s="497">
        <v>203</v>
      </c>
      <c r="O36" s="496"/>
      <c r="P36" s="496"/>
      <c r="Q36" s="496"/>
      <c r="R36" s="496">
        <v>0</v>
      </c>
    </row>
    <row r="37" spans="1:18" s="232" customFormat="1" ht="15.75" customHeight="1">
      <c r="A37" s="201">
        <f t="shared" si="1"/>
        <v>27</v>
      </c>
      <c r="B37" s="201" t="s">
        <v>617</v>
      </c>
      <c r="C37" s="494">
        <v>989</v>
      </c>
      <c r="D37" s="494">
        <v>2</v>
      </c>
      <c r="E37" s="494">
        <v>0</v>
      </c>
      <c r="F37" s="496">
        <f t="shared" si="4"/>
        <v>991</v>
      </c>
      <c r="G37" s="496"/>
      <c r="H37" s="496"/>
      <c r="I37" s="496"/>
      <c r="J37" s="885"/>
      <c r="K37" s="496"/>
      <c r="L37" s="496"/>
      <c r="M37" s="496"/>
      <c r="N37" s="373">
        <v>277</v>
      </c>
      <c r="O37" s="496"/>
      <c r="P37" s="496"/>
      <c r="Q37" s="496"/>
      <c r="R37" s="496">
        <v>0</v>
      </c>
    </row>
    <row r="38" spans="1:18" s="232" customFormat="1" ht="15.75" customHeight="1">
      <c r="A38" s="201">
        <f t="shared" si="1"/>
        <v>28</v>
      </c>
      <c r="B38" s="201" t="s">
        <v>611</v>
      </c>
      <c r="C38" s="494">
        <v>1381</v>
      </c>
      <c r="D38" s="494">
        <v>37</v>
      </c>
      <c r="E38" s="494">
        <v>0</v>
      </c>
      <c r="F38" s="496">
        <f t="shared" si="4"/>
        <v>1418</v>
      </c>
      <c r="G38" s="496"/>
      <c r="H38" s="496"/>
      <c r="I38" s="496"/>
      <c r="J38" s="883">
        <v>3952</v>
      </c>
      <c r="K38" s="496"/>
      <c r="L38" s="496"/>
      <c r="M38" s="496"/>
      <c r="N38" s="497">
        <v>177</v>
      </c>
      <c r="O38" s="496"/>
      <c r="P38" s="496"/>
      <c r="Q38" s="496"/>
      <c r="R38" s="496">
        <v>0</v>
      </c>
    </row>
    <row r="39" spans="1:18" ht="14.25">
      <c r="A39" s="201">
        <f t="shared" si="1"/>
        <v>29</v>
      </c>
      <c r="B39" s="201" t="s">
        <v>618</v>
      </c>
      <c r="C39" s="494">
        <v>944</v>
      </c>
      <c r="D39" s="494">
        <v>18</v>
      </c>
      <c r="E39" s="494">
        <v>0</v>
      </c>
      <c r="F39" s="496">
        <f t="shared" si="4"/>
        <v>962</v>
      </c>
      <c r="G39" s="499"/>
      <c r="H39" s="499"/>
      <c r="I39" s="499"/>
      <c r="J39" s="884"/>
      <c r="K39" s="499"/>
      <c r="L39" s="496"/>
      <c r="M39" s="496"/>
      <c r="N39" s="373">
        <v>176</v>
      </c>
      <c r="O39" s="496"/>
      <c r="P39" s="496"/>
      <c r="Q39" s="496"/>
      <c r="R39" s="496">
        <v>0</v>
      </c>
    </row>
    <row r="40" spans="1:18" ht="14.25">
      <c r="A40" s="201">
        <f t="shared" si="1"/>
        <v>30</v>
      </c>
      <c r="B40" s="143" t="s">
        <v>623</v>
      </c>
      <c r="C40" s="492">
        <v>672</v>
      </c>
      <c r="D40" s="492">
        <v>5</v>
      </c>
      <c r="E40" s="494">
        <v>0</v>
      </c>
      <c r="F40" s="496">
        <f t="shared" si="4"/>
        <v>677</v>
      </c>
      <c r="G40" s="499"/>
      <c r="H40" s="499"/>
      <c r="I40" s="499"/>
      <c r="J40" s="885"/>
      <c r="K40" s="499"/>
      <c r="L40" s="499"/>
      <c r="M40" s="496"/>
      <c r="N40" s="373">
        <v>50</v>
      </c>
      <c r="O40" s="496"/>
      <c r="P40" s="496"/>
      <c r="Q40" s="496"/>
      <c r="R40" s="496">
        <v>0</v>
      </c>
    </row>
    <row r="41" spans="1:18" s="232" customFormat="1" ht="15.75" customHeight="1">
      <c r="A41" s="201">
        <f t="shared" si="1"/>
        <v>31</v>
      </c>
      <c r="B41" s="201" t="s">
        <v>615</v>
      </c>
      <c r="C41" s="494">
        <v>1289</v>
      </c>
      <c r="D41" s="494">
        <v>13</v>
      </c>
      <c r="E41" s="494">
        <v>0</v>
      </c>
      <c r="F41" s="496">
        <f t="shared" si="4"/>
        <v>1302</v>
      </c>
      <c r="G41" s="496"/>
      <c r="H41" s="496"/>
      <c r="I41" s="496"/>
      <c r="J41" s="883">
        <v>3175</v>
      </c>
      <c r="K41" s="496"/>
      <c r="L41" s="496"/>
      <c r="M41" s="496"/>
      <c r="N41" s="373">
        <v>171</v>
      </c>
      <c r="O41" s="496"/>
      <c r="P41" s="496"/>
      <c r="Q41" s="496"/>
      <c r="R41" s="496">
        <v>0</v>
      </c>
    </row>
    <row r="42" spans="1:18" s="232" customFormat="1" ht="15.75" customHeight="1">
      <c r="A42" s="201">
        <f t="shared" si="1"/>
        <v>32</v>
      </c>
      <c r="B42" s="201" t="s">
        <v>609</v>
      </c>
      <c r="C42" s="494">
        <v>496</v>
      </c>
      <c r="D42" s="494">
        <v>12</v>
      </c>
      <c r="E42" s="494">
        <v>0</v>
      </c>
      <c r="F42" s="496">
        <f t="shared" si="4"/>
        <v>508</v>
      </c>
      <c r="G42" s="496"/>
      <c r="H42" s="496"/>
      <c r="I42" s="496"/>
      <c r="J42" s="884"/>
      <c r="K42" s="496"/>
      <c r="L42" s="496"/>
      <c r="M42" s="496"/>
      <c r="N42" s="497">
        <v>85</v>
      </c>
      <c r="O42" s="496"/>
      <c r="P42" s="496"/>
      <c r="Q42" s="496"/>
      <c r="R42" s="496">
        <v>0</v>
      </c>
    </row>
    <row r="43" spans="1:18" ht="14.25">
      <c r="A43" s="201">
        <f t="shared" si="1"/>
        <v>33</v>
      </c>
      <c r="B43" s="201" t="s">
        <v>619</v>
      </c>
      <c r="C43" s="494">
        <v>1022</v>
      </c>
      <c r="D43" s="494">
        <v>12</v>
      </c>
      <c r="E43" s="494">
        <v>0</v>
      </c>
      <c r="F43" s="496">
        <f t="shared" si="4"/>
        <v>1034</v>
      </c>
      <c r="G43" s="499"/>
      <c r="H43" s="499"/>
      <c r="I43" s="499"/>
      <c r="J43" s="885"/>
      <c r="K43" s="499"/>
      <c r="L43" s="496"/>
      <c r="M43" s="496"/>
      <c r="N43" s="373">
        <v>133</v>
      </c>
      <c r="O43" s="496"/>
      <c r="P43" s="496"/>
      <c r="Q43" s="496"/>
      <c r="R43" s="496">
        <v>0</v>
      </c>
    </row>
    <row r="44" spans="1:22" s="286" customFormat="1" ht="15">
      <c r="A44" s="150"/>
      <c r="B44" s="403" t="s">
        <v>624</v>
      </c>
      <c r="C44" s="493">
        <f aca="true" t="shared" si="5" ref="C44:R44">SUM(C11:C43)</f>
        <v>26254</v>
      </c>
      <c r="D44" s="493">
        <f t="shared" si="5"/>
        <v>373</v>
      </c>
      <c r="E44" s="493">
        <f t="shared" si="5"/>
        <v>0</v>
      </c>
      <c r="F44" s="493">
        <f t="shared" si="5"/>
        <v>26627</v>
      </c>
      <c r="G44" s="404">
        <f t="shared" si="5"/>
        <v>0</v>
      </c>
      <c r="H44" s="404">
        <f t="shared" si="5"/>
        <v>0</v>
      </c>
      <c r="I44" s="404">
        <f t="shared" si="5"/>
        <v>0</v>
      </c>
      <c r="J44" s="404">
        <f t="shared" si="5"/>
        <v>30408</v>
      </c>
      <c r="K44" s="404">
        <f t="shared" si="5"/>
        <v>0</v>
      </c>
      <c r="L44" s="404">
        <f t="shared" si="5"/>
        <v>0</v>
      </c>
      <c r="M44" s="404">
        <f t="shared" si="5"/>
        <v>0</v>
      </c>
      <c r="N44" s="404">
        <f t="shared" si="5"/>
        <v>3976</v>
      </c>
      <c r="O44" s="404">
        <f t="shared" si="5"/>
        <v>0</v>
      </c>
      <c r="P44" s="404">
        <f t="shared" si="5"/>
        <v>0</v>
      </c>
      <c r="Q44" s="404">
        <f t="shared" si="5"/>
        <v>0</v>
      </c>
      <c r="R44" s="404">
        <f t="shared" si="5"/>
        <v>0</v>
      </c>
      <c r="S44" s="405"/>
      <c r="T44" s="405"/>
      <c r="U44" s="405"/>
      <c r="V44" s="405"/>
    </row>
    <row r="46" spans="1:2" ht="15">
      <c r="A46" s="5" t="s">
        <v>874</v>
      </c>
      <c r="B46" s="286"/>
    </row>
    <row r="47" spans="1:2" ht="15">
      <c r="A47" s="286"/>
      <c r="B47" s="286"/>
    </row>
    <row r="48" spans="15:18" ht="15.75">
      <c r="O48" s="621" t="s">
        <v>860</v>
      </c>
      <c r="P48" s="621"/>
      <c r="Q48" s="621"/>
      <c r="R48" s="621"/>
    </row>
    <row r="49" spans="15:18" ht="15.75">
      <c r="O49" s="621" t="s">
        <v>653</v>
      </c>
      <c r="P49" s="621"/>
      <c r="Q49" s="621"/>
      <c r="R49" s="621"/>
    </row>
  </sheetData>
  <sheetProtection/>
  <mergeCells count="21">
    <mergeCell ref="G8:J8"/>
    <mergeCell ref="J28:J29"/>
    <mergeCell ref="J30:J34"/>
    <mergeCell ref="J35:J37"/>
    <mergeCell ref="J38:J40"/>
    <mergeCell ref="J41:J43"/>
    <mergeCell ref="G1:M1"/>
    <mergeCell ref="E2:O2"/>
    <mergeCell ref="O8:R8"/>
    <mergeCell ref="C8:F8"/>
    <mergeCell ref="K8:N8"/>
    <mergeCell ref="O48:R48"/>
    <mergeCell ref="O49:R49"/>
    <mergeCell ref="B4:T4"/>
    <mergeCell ref="A6:B6"/>
    <mergeCell ref="A8:A9"/>
    <mergeCell ref="B8:B9"/>
    <mergeCell ref="J11:J14"/>
    <mergeCell ref="J15:J16"/>
    <mergeCell ref="J18:J21"/>
    <mergeCell ref="J22:J27"/>
  </mergeCells>
  <printOptions horizontalCentered="1"/>
  <pageMargins left="0.42" right="0.44" top="0.45" bottom="0" header="0.31496062992125984" footer="0.31496062992125984"/>
  <pageSetup fitToHeight="1" fitToWidth="1" horizontalDpi="600" verticalDpi="600" orientation="landscape" paperSize="9" scale="66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view="pageBreakPreview" zoomScale="55" zoomScaleNormal="70" zoomScaleSheetLayoutView="55" zoomScalePageLayoutView="0" workbookViewId="0" topLeftCell="A2">
      <selection activeCell="C11" sqref="C11:S43"/>
    </sheetView>
  </sheetViews>
  <sheetFormatPr defaultColWidth="9.140625" defaultRowHeight="12.75"/>
  <cols>
    <col min="1" max="1" width="9.140625" style="226" customWidth="1"/>
    <col min="2" max="2" width="14.7109375" style="226" customWidth="1"/>
    <col min="3" max="3" width="15.421875" style="226" customWidth="1"/>
    <col min="4" max="4" width="14.8515625" style="226" customWidth="1"/>
    <col min="5" max="5" width="11.8515625" style="226" customWidth="1"/>
    <col min="6" max="6" width="9.8515625" style="226" customWidth="1"/>
    <col min="7" max="7" width="12.7109375" style="226" customWidth="1"/>
    <col min="8" max="9" width="11.00390625" style="226" customWidth="1"/>
    <col min="10" max="10" width="14.140625" style="226" customWidth="1"/>
    <col min="11" max="11" width="12.28125" style="226" customWidth="1"/>
    <col min="12" max="12" width="13.140625" style="226" customWidth="1"/>
    <col min="13" max="13" width="9.7109375" style="226" customWidth="1"/>
    <col min="14" max="14" width="9.57421875" style="226" customWidth="1"/>
    <col min="15" max="15" width="12.7109375" style="226" customWidth="1"/>
    <col min="16" max="16" width="13.28125" style="226" customWidth="1"/>
    <col min="17" max="17" width="11.28125" style="226" customWidth="1"/>
    <col min="18" max="18" width="9.28125" style="226" customWidth="1"/>
    <col min="19" max="19" width="9.7109375" style="226" bestFit="1" customWidth="1"/>
    <col min="20" max="20" width="12.28125" style="226" customWidth="1"/>
    <col min="21" max="16384" width="9.140625" style="226" customWidth="1"/>
  </cols>
  <sheetData>
    <row r="1" spans="3:18" s="6" customFormat="1" ht="15.75">
      <c r="C1" s="27"/>
      <c r="D1" s="27"/>
      <c r="E1" s="27"/>
      <c r="F1" s="27"/>
      <c r="G1" s="27"/>
      <c r="H1" s="27"/>
      <c r="I1" s="49" t="s">
        <v>0</v>
      </c>
      <c r="J1" s="27"/>
      <c r="Q1" s="709" t="s">
        <v>535</v>
      </c>
      <c r="R1" s="709"/>
    </row>
    <row r="2" spans="1:19" s="6" customFormat="1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</row>
    <row r="3" spans="7:17" s="6" customFormat="1" ht="20.25">
      <c r="G3" s="156"/>
      <c r="H3" s="156"/>
      <c r="I3" s="156"/>
      <c r="J3" s="156"/>
      <c r="K3" s="156"/>
      <c r="L3" s="156"/>
      <c r="M3" s="156"/>
      <c r="N3" s="26"/>
      <c r="O3" s="26"/>
      <c r="P3" s="26"/>
      <c r="Q3" s="26"/>
    </row>
    <row r="4" spans="1:20" ht="18">
      <c r="A4" s="880" t="s">
        <v>741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409"/>
    </row>
    <row r="5" spans="3:20" ht="15.75">
      <c r="C5" s="227"/>
      <c r="D5" s="3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</row>
    <row r="6" ht="15">
      <c r="A6" s="235" t="s">
        <v>670</v>
      </c>
    </row>
    <row r="7" spans="2:17" ht="14.25">
      <c r="B7" s="228"/>
      <c r="Q7" s="236" t="s">
        <v>135</v>
      </c>
    </row>
    <row r="8" spans="1:19" s="229" customFormat="1" ht="32.25" customHeight="1">
      <c r="A8" s="530" t="s">
        <v>2</v>
      </c>
      <c r="B8" s="881" t="s">
        <v>3</v>
      </c>
      <c r="C8" s="892" t="s">
        <v>447</v>
      </c>
      <c r="D8" s="892"/>
      <c r="E8" s="892"/>
      <c r="F8" s="892"/>
      <c r="G8" s="892" t="s">
        <v>448</v>
      </c>
      <c r="H8" s="892"/>
      <c r="I8" s="892"/>
      <c r="J8" s="892"/>
      <c r="K8" s="892" t="s">
        <v>449</v>
      </c>
      <c r="L8" s="892"/>
      <c r="M8" s="892"/>
      <c r="N8" s="892"/>
      <c r="O8" s="892" t="s">
        <v>450</v>
      </c>
      <c r="P8" s="892"/>
      <c r="Q8" s="892"/>
      <c r="R8" s="881"/>
      <c r="S8" s="894" t="s">
        <v>158</v>
      </c>
    </row>
    <row r="9" spans="1:19" s="231" customFormat="1" ht="75" customHeight="1">
      <c r="A9" s="530"/>
      <c r="B9" s="882"/>
      <c r="C9" s="186" t="s">
        <v>155</v>
      </c>
      <c r="D9" s="237" t="s">
        <v>157</v>
      </c>
      <c r="E9" s="186" t="s">
        <v>134</v>
      </c>
      <c r="F9" s="237" t="s">
        <v>156</v>
      </c>
      <c r="G9" s="186" t="s">
        <v>239</v>
      </c>
      <c r="H9" s="237" t="s">
        <v>157</v>
      </c>
      <c r="I9" s="186" t="s">
        <v>134</v>
      </c>
      <c r="J9" s="237" t="s">
        <v>156</v>
      </c>
      <c r="K9" s="186" t="s">
        <v>239</v>
      </c>
      <c r="L9" s="237" t="s">
        <v>157</v>
      </c>
      <c r="M9" s="186" t="s">
        <v>134</v>
      </c>
      <c r="N9" s="237" t="s">
        <v>156</v>
      </c>
      <c r="O9" s="186" t="s">
        <v>239</v>
      </c>
      <c r="P9" s="237" t="s">
        <v>157</v>
      </c>
      <c r="Q9" s="186" t="s">
        <v>134</v>
      </c>
      <c r="R9" s="36" t="s">
        <v>156</v>
      </c>
      <c r="S9" s="894"/>
    </row>
    <row r="10" spans="1:19" s="231" customFormat="1" ht="15.75" customHeight="1">
      <c r="A10" s="1">
        <v>1</v>
      </c>
      <c r="B10" s="187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61">
        <v>18</v>
      </c>
      <c r="S10" s="238">
        <v>19</v>
      </c>
    </row>
    <row r="11" spans="1:19" s="231" customFormat="1" ht="15.75" customHeight="1">
      <c r="A11" s="201">
        <v>1</v>
      </c>
      <c r="B11" s="201" t="s">
        <v>633</v>
      </c>
      <c r="C11" s="895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7"/>
    </row>
    <row r="12" spans="1:19" s="231" customFormat="1" ht="15.75" customHeight="1">
      <c r="A12" s="201">
        <f>A11+1</f>
        <v>2</v>
      </c>
      <c r="B12" s="201" t="s">
        <v>598</v>
      </c>
      <c r="C12" s="898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900"/>
    </row>
    <row r="13" spans="1:19" s="231" customFormat="1" ht="15.75" customHeight="1">
      <c r="A13" s="201">
        <f aca="true" t="shared" si="0" ref="A13:A43">A12+1</f>
        <v>3</v>
      </c>
      <c r="B13" s="201" t="s">
        <v>634</v>
      </c>
      <c r="C13" s="898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900"/>
    </row>
    <row r="14" spans="1:19" s="231" customFormat="1" ht="15.75" customHeight="1">
      <c r="A14" s="201">
        <f t="shared" si="0"/>
        <v>4</v>
      </c>
      <c r="B14" s="201" t="s">
        <v>599</v>
      </c>
      <c r="C14" s="898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900"/>
    </row>
    <row r="15" spans="1:19" s="231" customFormat="1" ht="15.75" customHeight="1">
      <c r="A15" s="201">
        <f t="shared" si="0"/>
        <v>5</v>
      </c>
      <c r="B15" s="201" t="s">
        <v>600</v>
      </c>
      <c r="C15" s="898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900"/>
    </row>
    <row r="16" spans="1:19" s="231" customFormat="1" ht="15.75" customHeight="1">
      <c r="A16" s="201">
        <f t="shared" si="0"/>
        <v>6</v>
      </c>
      <c r="B16" s="201" t="s">
        <v>601</v>
      </c>
      <c r="C16" s="898"/>
      <c r="D16" s="899"/>
      <c r="E16" s="899"/>
      <c r="F16" s="899"/>
      <c r="G16" s="899"/>
      <c r="H16" s="899"/>
      <c r="I16" s="899"/>
      <c r="J16" s="899"/>
      <c r="K16" s="899"/>
      <c r="L16" s="899"/>
      <c r="M16" s="899"/>
      <c r="N16" s="899"/>
      <c r="O16" s="899"/>
      <c r="P16" s="899"/>
      <c r="Q16" s="899"/>
      <c r="R16" s="899"/>
      <c r="S16" s="900"/>
    </row>
    <row r="17" spans="1:19" s="231" customFormat="1" ht="15.75" customHeight="1">
      <c r="A17" s="201">
        <f t="shared" si="0"/>
        <v>7</v>
      </c>
      <c r="B17" s="201" t="s">
        <v>602</v>
      </c>
      <c r="C17" s="898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900"/>
    </row>
    <row r="18" spans="1:19" s="231" customFormat="1" ht="15.75" customHeight="1">
      <c r="A18" s="201">
        <f t="shared" si="0"/>
        <v>8</v>
      </c>
      <c r="B18" s="201" t="s">
        <v>603</v>
      </c>
      <c r="C18" s="898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900"/>
    </row>
    <row r="19" spans="1:19" s="231" customFormat="1" ht="15.75" customHeight="1">
      <c r="A19" s="201">
        <f t="shared" si="0"/>
        <v>9</v>
      </c>
      <c r="B19" s="201" t="s">
        <v>604</v>
      </c>
      <c r="C19" s="898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900"/>
    </row>
    <row r="20" spans="1:19" s="231" customFormat="1" ht="15.75" customHeight="1">
      <c r="A20" s="201">
        <f t="shared" si="0"/>
        <v>10</v>
      </c>
      <c r="B20" s="201" t="s">
        <v>605</v>
      </c>
      <c r="C20" s="898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900"/>
    </row>
    <row r="21" spans="1:19" s="231" customFormat="1" ht="15.75" customHeight="1">
      <c r="A21" s="201">
        <f t="shared" si="0"/>
        <v>11</v>
      </c>
      <c r="B21" s="201" t="s">
        <v>635</v>
      </c>
      <c r="C21" s="898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899"/>
      <c r="Q21" s="899"/>
      <c r="R21" s="899"/>
      <c r="S21" s="900"/>
    </row>
    <row r="22" spans="1:19" s="231" customFormat="1" ht="15.75" customHeight="1">
      <c r="A22" s="201">
        <f t="shared" si="0"/>
        <v>12</v>
      </c>
      <c r="B22" s="201" t="s">
        <v>606</v>
      </c>
      <c r="C22" s="898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900"/>
    </row>
    <row r="23" spans="1:19" s="231" customFormat="1" ht="15.75" customHeight="1">
      <c r="A23" s="201">
        <f t="shared" si="0"/>
        <v>13</v>
      </c>
      <c r="B23" s="201" t="s">
        <v>607</v>
      </c>
      <c r="C23" s="898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900"/>
    </row>
    <row r="24" spans="1:19" s="231" customFormat="1" ht="15.75" customHeight="1">
      <c r="A24" s="201">
        <f t="shared" si="0"/>
        <v>14</v>
      </c>
      <c r="B24" s="201" t="s">
        <v>636</v>
      </c>
      <c r="C24" s="898"/>
      <c r="D24" s="899"/>
      <c r="E24" s="899"/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  <c r="R24" s="899"/>
      <c r="S24" s="900"/>
    </row>
    <row r="25" spans="1:19" s="231" customFormat="1" ht="15.75" customHeight="1">
      <c r="A25" s="201">
        <f t="shared" si="0"/>
        <v>15</v>
      </c>
      <c r="B25" s="201" t="s">
        <v>608</v>
      </c>
      <c r="C25" s="898"/>
      <c r="D25" s="899"/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900"/>
    </row>
    <row r="26" spans="1:19" s="231" customFormat="1" ht="15.75" customHeight="1">
      <c r="A26" s="201">
        <f t="shared" si="0"/>
        <v>16</v>
      </c>
      <c r="B26" s="201" t="s">
        <v>609</v>
      </c>
      <c r="C26" s="898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900"/>
    </row>
    <row r="27" spans="1:19" s="231" customFormat="1" ht="15.75" customHeight="1">
      <c r="A27" s="201">
        <f t="shared" si="0"/>
        <v>17</v>
      </c>
      <c r="B27" s="269" t="s">
        <v>757</v>
      </c>
      <c r="C27" s="898"/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900"/>
    </row>
    <row r="28" spans="1:19" s="231" customFormat="1" ht="15.75" customHeight="1">
      <c r="A28" s="201">
        <f t="shared" si="0"/>
        <v>18</v>
      </c>
      <c r="B28" s="201" t="s">
        <v>610</v>
      </c>
      <c r="C28" s="898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900"/>
    </row>
    <row r="29" spans="1:19" s="231" customFormat="1" ht="15.75" customHeight="1">
      <c r="A29" s="201">
        <f t="shared" si="0"/>
        <v>19</v>
      </c>
      <c r="B29" s="201" t="s">
        <v>611</v>
      </c>
      <c r="C29" s="898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900"/>
    </row>
    <row r="30" spans="1:19" s="231" customFormat="1" ht="15.75" customHeight="1">
      <c r="A30" s="201">
        <f t="shared" si="0"/>
        <v>20</v>
      </c>
      <c r="B30" s="269" t="s">
        <v>758</v>
      </c>
      <c r="C30" s="898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900"/>
    </row>
    <row r="31" spans="1:19" ht="14.25">
      <c r="A31" s="201">
        <f t="shared" si="0"/>
        <v>21</v>
      </c>
      <c r="B31" s="201" t="s">
        <v>637</v>
      </c>
      <c r="C31" s="898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900"/>
    </row>
    <row r="32" spans="1:19" ht="14.25">
      <c r="A32" s="201">
        <f t="shared" si="0"/>
        <v>22</v>
      </c>
      <c r="B32" s="201" t="s">
        <v>612</v>
      </c>
      <c r="C32" s="898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900"/>
    </row>
    <row r="33" spans="1:19" ht="14.25">
      <c r="A33" s="201">
        <f t="shared" si="0"/>
        <v>23</v>
      </c>
      <c r="B33" s="201" t="s">
        <v>613</v>
      </c>
      <c r="C33" s="898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900"/>
    </row>
    <row r="34" spans="1:19" ht="14.25">
      <c r="A34" s="201">
        <f t="shared" si="0"/>
        <v>24</v>
      </c>
      <c r="B34" s="201" t="s">
        <v>614</v>
      </c>
      <c r="C34" s="898"/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899"/>
      <c r="Q34" s="899"/>
      <c r="R34" s="899"/>
      <c r="S34" s="900"/>
    </row>
    <row r="35" spans="1:45" s="233" customFormat="1" ht="14.25">
      <c r="A35" s="201">
        <f t="shared" si="0"/>
        <v>25</v>
      </c>
      <c r="B35" s="201" t="s">
        <v>615</v>
      </c>
      <c r="C35" s="898"/>
      <c r="D35" s="899"/>
      <c r="E35" s="899"/>
      <c r="F35" s="899"/>
      <c r="G35" s="899"/>
      <c r="H35" s="899"/>
      <c r="I35" s="899"/>
      <c r="J35" s="899"/>
      <c r="K35" s="899"/>
      <c r="L35" s="899"/>
      <c r="M35" s="899"/>
      <c r="N35" s="899"/>
      <c r="O35" s="899"/>
      <c r="P35" s="899"/>
      <c r="Q35" s="899"/>
      <c r="R35" s="899"/>
      <c r="S35" s="900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</row>
    <row r="36" spans="1:19" ht="14.25">
      <c r="A36" s="201">
        <f t="shared" si="0"/>
        <v>26</v>
      </c>
      <c r="B36" s="201" t="s">
        <v>616</v>
      </c>
      <c r="C36" s="898"/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900"/>
    </row>
    <row r="37" spans="1:19" ht="14.25">
      <c r="A37" s="201">
        <f t="shared" si="0"/>
        <v>27</v>
      </c>
      <c r="B37" s="201" t="s">
        <v>617</v>
      </c>
      <c r="C37" s="898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899"/>
      <c r="R37" s="899"/>
      <c r="S37" s="900"/>
    </row>
    <row r="38" spans="1:19" ht="14.25">
      <c r="A38" s="201">
        <f t="shared" si="0"/>
        <v>28</v>
      </c>
      <c r="B38" s="201" t="s">
        <v>618</v>
      </c>
      <c r="C38" s="898"/>
      <c r="D38" s="899"/>
      <c r="E38" s="899"/>
      <c r="F38" s="899"/>
      <c r="G38" s="899"/>
      <c r="H38" s="899"/>
      <c r="I38" s="899"/>
      <c r="J38" s="899"/>
      <c r="K38" s="899"/>
      <c r="L38" s="899"/>
      <c r="M38" s="899"/>
      <c r="N38" s="899"/>
      <c r="O38" s="899"/>
      <c r="P38" s="899"/>
      <c r="Q38" s="899"/>
      <c r="R38" s="899"/>
      <c r="S38" s="900"/>
    </row>
    <row r="39" spans="1:19" ht="14.25">
      <c r="A39" s="201">
        <f t="shared" si="0"/>
        <v>29</v>
      </c>
      <c r="B39" s="201" t="s">
        <v>619</v>
      </c>
      <c r="C39" s="898"/>
      <c r="D39" s="899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  <c r="S39" s="900"/>
    </row>
    <row r="40" spans="1:19" ht="14.25">
      <c r="A40" s="201">
        <f t="shared" si="0"/>
        <v>30</v>
      </c>
      <c r="B40" s="143" t="s">
        <v>620</v>
      </c>
      <c r="C40" s="898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  <c r="O40" s="899"/>
      <c r="P40" s="899"/>
      <c r="Q40" s="899"/>
      <c r="R40" s="899"/>
      <c r="S40" s="900"/>
    </row>
    <row r="41" spans="1:19" ht="14.25">
      <c r="A41" s="201">
        <f t="shared" si="0"/>
        <v>31</v>
      </c>
      <c r="B41" s="143" t="s">
        <v>621</v>
      </c>
      <c r="C41" s="898"/>
      <c r="D41" s="899"/>
      <c r="E41" s="899"/>
      <c r="F41" s="899"/>
      <c r="G41" s="899"/>
      <c r="H41" s="899"/>
      <c r="I41" s="899"/>
      <c r="J41" s="899"/>
      <c r="K41" s="899"/>
      <c r="L41" s="899"/>
      <c r="M41" s="899"/>
      <c r="N41" s="899"/>
      <c r="O41" s="899"/>
      <c r="P41" s="899"/>
      <c r="Q41" s="899"/>
      <c r="R41" s="899"/>
      <c r="S41" s="900"/>
    </row>
    <row r="42" spans="1:19" s="6" customFormat="1" ht="14.25" customHeight="1">
      <c r="A42" s="201">
        <f t="shared" si="0"/>
        <v>32</v>
      </c>
      <c r="B42" s="143" t="s">
        <v>622</v>
      </c>
      <c r="C42" s="898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900"/>
    </row>
    <row r="43" spans="1:19" s="6" customFormat="1" ht="12.75" customHeight="1">
      <c r="A43" s="201">
        <f t="shared" si="0"/>
        <v>33</v>
      </c>
      <c r="B43" s="143" t="s">
        <v>623</v>
      </c>
      <c r="C43" s="901"/>
      <c r="D43" s="902"/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  <c r="Q43" s="902"/>
      <c r="R43" s="902"/>
      <c r="S43" s="903"/>
    </row>
    <row r="44" spans="1:19" s="5" customFormat="1" ht="12.75" customHeight="1">
      <c r="A44" s="150"/>
      <c r="B44" s="150" t="s">
        <v>624</v>
      </c>
      <c r="C44" s="17"/>
      <c r="D44" s="17"/>
      <c r="E44" s="297"/>
      <c r="F44" s="297"/>
      <c r="G44" s="17"/>
      <c r="H44" s="17"/>
      <c r="I44" s="17"/>
      <c r="J44" s="297"/>
      <c r="K44" s="17"/>
      <c r="L44" s="17"/>
      <c r="M44" s="17"/>
      <c r="N44" s="17"/>
      <c r="O44" s="17"/>
      <c r="P44" s="17"/>
      <c r="Q44" s="17"/>
      <c r="R44" s="17"/>
      <c r="S44" s="297"/>
    </row>
    <row r="45" spans="1:2" s="6" customFormat="1" ht="15">
      <c r="A45" s="421" t="s">
        <v>836</v>
      </c>
      <c r="B45" s="5"/>
    </row>
    <row r="48" spans="14:19" ht="15.75">
      <c r="N48" s="621" t="s">
        <v>860</v>
      </c>
      <c r="O48" s="621"/>
      <c r="P48" s="621"/>
      <c r="Q48" s="621"/>
      <c r="R48" s="621"/>
      <c r="S48" s="621"/>
    </row>
    <row r="49" spans="14:19" ht="15.75">
      <c r="N49" s="621" t="s">
        <v>653</v>
      </c>
      <c r="O49" s="621"/>
      <c r="P49" s="621"/>
      <c r="Q49" s="621"/>
      <c r="R49" s="621"/>
      <c r="S49" s="621"/>
    </row>
  </sheetData>
  <sheetProtection/>
  <mergeCells count="13">
    <mergeCell ref="G8:J8"/>
    <mergeCell ref="K8:N8"/>
    <mergeCell ref="C11:S43"/>
    <mergeCell ref="N48:S48"/>
    <mergeCell ref="N49:S49"/>
    <mergeCell ref="S8:S9"/>
    <mergeCell ref="O8:R8"/>
    <mergeCell ref="Q1:R1"/>
    <mergeCell ref="A2:S2"/>
    <mergeCell ref="A4:S4"/>
    <mergeCell ref="A8:A9"/>
    <mergeCell ref="B8:B9"/>
    <mergeCell ref="C8:F8"/>
  </mergeCells>
  <printOptions horizontalCentered="1"/>
  <pageMargins left="0.46" right="0.41" top="0.48" bottom="0" header="0.31496062992125984" footer="0.31496062992125984"/>
  <pageSetup fitToHeight="1" fitToWidth="1" horizontalDpi="600" verticalDpi="600" orientation="landscape" paperSize="9" scale="61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="55" zoomScaleSheetLayoutView="55" zoomScalePageLayoutView="0" workbookViewId="0" topLeftCell="A4">
      <selection activeCell="D29" sqref="D29"/>
    </sheetView>
  </sheetViews>
  <sheetFormatPr defaultColWidth="9.140625" defaultRowHeight="12.75"/>
  <cols>
    <col min="1" max="1" width="9.140625" style="226" customWidth="1"/>
    <col min="2" max="2" width="20.140625" style="226" customWidth="1"/>
    <col min="3" max="3" width="23.57421875" style="226" customWidth="1"/>
    <col min="4" max="4" width="31.140625" style="226" customWidth="1"/>
    <col min="5" max="5" width="12.7109375" style="226" customWidth="1"/>
    <col min="6" max="6" width="12.57421875" style="226" customWidth="1"/>
    <col min="7" max="7" width="13.8515625" style="226" customWidth="1"/>
    <col min="8" max="16384" width="9.140625" style="226" customWidth="1"/>
  </cols>
  <sheetData>
    <row r="1" spans="3:7" s="6" customFormat="1" ht="15">
      <c r="C1" s="27"/>
      <c r="D1" s="27"/>
      <c r="E1" s="27"/>
      <c r="F1" s="709" t="s">
        <v>761</v>
      </c>
      <c r="G1" s="709"/>
    </row>
    <row r="2" spans="2:9" s="6" customFormat="1" ht="20.25">
      <c r="B2" s="563" t="s">
        <v>695</v>
      </c>
      <c r="C2" s="563"/>
      <c r="D2" s="563"/>
      <c r="E2" s="563"/>
      <c r="F2" s="563"/>
      <c r="G2" s="26"/>
      <c r="H2" s="26"/>
      <c r="I2" s="26"/>
    </row>
    <row r="3" s="6" customFormat="1" ht="20.25">
      <c r="G3" s="156"/>
    </row>
    <row r="4" spans="2:8" ht="18">
      <c r="B4" s="905" t="s">
        <v>762</v>
      </c>
      <c r="C4" s="905"/>
      <c r="D4" s="905"/>
      <c r="E4" s="905"/>
      <c r="F4" s="905"/>
      <c r="G4" s="905"/>
      <c r="H4" s="905"/>
    </row>
    <row r="5" spans="3:8" ht="15.75">
      <c r="C5" s="227"/>
      <c r="D5" s="37"/>
      <c r="E5" s="227"/>
      <c r="F5" s="227"/>
      <c r="G5" s="227"/>
      <c r="H5" s="227"/>
    </row>
    <row r="6" ht="15">
      <c r="A6" s="235" t="s">
        <v>763</v>
      </c>
    </row>
    <row r="7" ht="14.25">
      <c r="B7" s="417"/>
    </row>
    <row r="8" spans="1:7" s="231" customFormat="1" ht="15.75">
      <c r="A8" s="906" t="s">
        <v>2</v>
      </c>
      <c r="B8" s="907" t="s">
        <v>3</v>
      </c>
      <c r="C8" s="907" t="s">
        <v>764</v>
      </c>
      <c r="D8" s="908" t="s">
        <v>765</v>
      </c>
      <c r="E8" s="907" t="s">
        <v>766</v>
      </c>
      <c r="F8" s="907"/>
      <c r="G8" s="907"/>
    </row>
    <row r="9" spans="1:7" s="231" customFormat="1" ht="31.5">
      <c r="A9" s="906"/>
      <c r="B9" s="907"/>
      <c r="C9" s="907"/>
      <c r="D9" s="909"/>
      <c r="E9" s="418" t="s">
        <v>767</v>
      </c>
      <c r="F9" s="418" t="s">
        <v>768</v>
      </c>
      <c r="G9" s="418" t="s">
        <v>16</v>
      </c>
    </row>
    <row r="10" spans="1:7" s="231" customFormat="1" ht="15">
      <c r="A10" s="31">
        <v>1</v>
      </c>
      <c r="B10" s="419">
        <v>2</v>
      </c>
      <c r="C10" s="419">
        <v>3</v>
      </c>
      <c r="D10" s="419">
        <v>4</v>
      </c>
      <c r="E10" s="420">
        <v>5</v>
      </c>
      <c r="F10" s="420">
        <v>6</v>
      </c>
      <c r="G10" s="420">
        <v>7</v>
      </c>
    </row>
    <row r="11" spans="1:7" s="231" customFormat="1" ht="15">
      <c r="A11" s="201">
        <v>1</v>
      </c>
      <c r="B11" s="201" t="s">
        <v>633</v>
      </c>
      <c r="C11" s="36"/>
      <c r="D11" s="36"/>
      <c r="E11" s="36"/>
      <c r="F11" s="36"/>
      <c r="G11" s="36"/>
    </row>
    <row r="12" spans="1:7" s="231" customFormat="1" ht="15">
      <c r="A12" s="201">
        <f>A11+1</f>
        <v>2</v>
      </c>
      <c r="B12" s="201" t="s">
        <v>598</v>
      </c>
      <c r="C12" s="36"/>
      <c r="D12" s="36"/>
      <c r="E12" s="36"/>
      <c r="F12" s="36"/>
      <c r="G12" s="36"/>
    </row>
    <row r="13" spans="1:7" s="231" customFormat="1" ht="15">
      <c r="A13" s="201">
        <f aca="true" t="shared" si="0" ref="A13:A43">A12+1</f>
        <v>3</v>
      </c>
      <c r="B13" s="201" t="s">
        <v>634</v>
      </c>
      <c r="C13" s="36"/>
      <c r="D13" s="36"/>
      <c r="E13" s="36"/>
      <c r="F13" s="36"/>
      <c r="G13" s="36"/>
    </row>
    <row r="14" spans="1:7" s="231" customFormat="1" ht="15">
      <c r="A14" s="201">
        <f t="shared" si="0"/>
        <v>4</v>
      </c>
      <c r="B14" s="201" t="s">
        <v>599</v>
      </c>
      <c r="C14" s="36"/>
      <c r="D14" s="36"/>
      <c r="E14" s="36"/>
      <c r="F14" s="36"/>
      <c r="G14" s="36"/>
    </row>
    <row r="15" spans="1:7" s="231" customFormat="1" ht="15">
      <c r="A15" s="201">
        <f t="shared" si="0"/>
        <v>5</v>
      </c>
      <c r="B15" s="201" t="s">
        <v>600</v>
      </c>
      <c r="C15" s="36"/>
      <c r="D15" s="36"/>
      <c r="E15" s="36"/>
      <c r="F15" s="36"/>
      <c r="G15" s="36"/>
    </row>
    <row r="16" spans="1:7" s="231" customFormat="1" ht="15">
      <c r="A16" s="201">
        <f t="shared" si="0"/>
        <v>6</v>
      </c>
      <c r="B16" s="201" t="s">
        <v>601</v>
      </c>
      <c r="C16" s="36"/>
      <c r="D16" s="36"/>
      <c r="E16" s="36"/>
      <c r="F16" s="36"/>
      <c r="G16" s="36"/>
    </row>
    <row r="17" spans="1:7" s="231" customFormat="1" ht="15">
      <c r="A17" s="201">
        <f t="shared" si="0"/>
        <v>7</v>
      </c>
      <c r="B17" s="201" t="s">
        <v>602</v>
      </c>
      <c r="C17" s="36"/>
      <c r="D17" s="36"/>
      <c r="E17" s="36"/>
      <c r="F17" s="36"/>
      <c r="G17" s="36"/>
    </row>
    <row r="18" spans="1:7" ht="14.25">
      <c r="A18" s="201">
        <f t="shared" si="0"/>
        <v>8</v>
      </c>
      <c r="B18" s="201" t="s">
        <v>603</v>
      </c>
      <c r="C18" s="233"/>
      <c r="D18" s="233"/>
      <c r="E18" s="233"/>
      <c r="F18" s="233"/>
      <c r="G18" s="233"/>
    </row>
    <row r="19" spans="1:7" ht="14.25">
      <c r="A19" s="201">
        <f t="shared" si="0"/>
        <v>9</v>
      </c>
      <c r="B19" s="201" t="s">
        <v>604</v>
      </c>
      <c r="C19" s="233"/>
      <c r="D19" s="233"/>
      <c r="E19" s="233"/>
      <c r="F19" s="233"/>
      <c r="G19" s="233"/>
    </row>
    <row r="20" spans="1:7" ht="14.25">
      <c r="A20" s="201">
        <f t="shared" si="0"/>
        <v>10</v>
      </c>
      <c r="B20" s="201" t="s">
        <v>605</v>
      </c>
      <c r="C20" s="233"/>
      <c r="D20" s="233"/>
      <c r="E20" s="233"/>
      <c r="F20" s="233"/>
      <c r="G20" s="233"/>
    </row>
    <row r="21" spans="1:7" ht="14.25">
      <c r="A21" s="201">
        <f t="shared" si="0"/>
        <v>11</v>
      </c>
      <c r="B21" s="201" t="s">
        <v>635</v>
      </c>
      <c r="C21" s="233"/>
      <c r="D21" s="233"/>
      <c r="E21" s="233"/>
      <c r="F21" s="233"/>
      <c r="G21" s="233"/>
    </row>
    <row r="22" spans="1:33" s="233" customFormat="1" ht="14.25">
      <c r="A22" s="201">
        <f t="shared" si="0"/>
        <v>12</v>
      </c>
      <c r="B22" s="201" t="s">
        <v>606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</row>
    <row r="23" spans="1:7" ht="14.25">
      <c r="A23" s="201">
        <f t="shared" si="0"/>
        <v>13</v>
      </c>
      <c r="B23" s="201" t="s">
        <v>607</v>
      </c>
      <c r="C23" s="233"/>
      <c r="D23" s="233"/>
      <c r="E23" s="233"/>
      <c r="F23" s="233"/>
      <c r="G23" s="233"/>
    </row>
    <row r="24" spans="1:7" ht="14.25">
      <c r="A24" s="201">
        <f t="shared" si="0"/>
        <v>14</v>
      </c>
      <c r="B24" s="201" t="s">
        <v>636</v>
      </c>
      <c r="C24" s="233"/>
      <c r="D24" s="233"/>
      <c r="E24" s="233"/>
      <c r="F24" s="233"/>
      <c r="G24" s="233"/>
    </row>
    <row r="25" spans="1:7" ht="14.25">
      <c r="A25" s="201">
        <f t="shared" si="0"/>
        <v>15</v>
      </c>
      <c r="B25" s="201" t="s">
        <v>608</v>
      </c>
      <c r="C25" s="233"/>
      <c r="D25" s="233"/>
      <c r="E25" s="233"/>
      <c r="F25" s="233"/>
      <c r="G25" s="233"/>
    </row>
    <row r="26" spans="1:7" ht="14.25">
      <c r="A26" s="201">
        <f t="shared" si="0"/>
        <v>16</v>
      </c>
      <c r="B26" s="201" t="s">
        <v>609</v>
      </c>
      <c r="C26" s="233"/>
      <c r="D26" s="233"/>
      <c r="E26" s="233"/>
      <c r="F26" s="233"/>
      <c r="G26" s="233"/>
    </row>
    <row r="27" spans="1:7" ht="14.25">
      <c r="A27" s="201">
        <f t="shared" si="0"/>
        <v>17</v>
      </c>
      <c r="B27" s="269" t="s">
        <v>757</v>
      </c>
      <c r="C27" s="233"/>
      <c r="D27" s="233"/>
      <c r="E27" s="233"/>
      <c r="F27" s="233"/>
      <c r="G27" s="233"/>
    </row>
    <row r="28" spans="1:7" ht="14.25">
      <c r="A28" s="201">
        <f t="shared" si="0"/>
        <v>18</v>
      </c>
      <c r="B28" s="201" t="s">
        <v>610</v>
      </c>
      <c r="C28" s="233"/>
      <c r="D28" s="233"/>
      <c r="E28" s="233"/>
      <c r="F28" s="233"/>
      <c r="G28" s="233"/>
    </row>
    <row r="29" spans="1:7" s="6" customFormat="1" ht="12.75">
      <c r="A29" s="201">
        <f t="shared" si="0"/>
        <v>19</v>
      </c>
      <c r="B29" s="201" t="s">
        <v>611</v>
      </c>
      <c r="C29" s="8"/>
      <c r="D29" s="8"/>
      <c r="E29" s="8"/>
      <c r="F29" s="8"/>
      <c r="G29" s="17"/>
    </row>
    <row r="30" spans="1:7" s="6" customFormat="1" ht="12.75">
      <c r="A30" s="201">
        <f t="shared" si="0"/>
        <v>20</v>
      </c>
      <c r="B30" s="269" t="s">
        <v>758</v>
      </c>
      <c r="C30" s="8"/>
      <c r="D30" s="8"/>
      <c r="E30" s="8"/>
      <c r="F30" s="8"/>
      <c r="G30" s="8"/>
    </row>
    <row r="31" spans="1:7" ht="14.25">
      <c r="A31" s="201">
        <f t="shared" si="0"/>
        <v>21</v>
      </c>
      <c r="B31" s="201" t="s">
        <v>637</v>
      </c>
      <c r="C31" s="233"/>
      <c r="D31" s="233"/>
      <c r="E31" s="233"/>
      <c r="F31" s="24"/>
      <c r="G31" s="24"/>
    </row>
    <row r="32" spans="1:10" ht="14.25">
      <c r="A32" s="201">
        <f t="shared" si="0"/>
        <v>22</v>
      </c>
      <c r="B32" s="201" t="s">
        <v>612</v>
      </c>
      <c r="C32" s="472"/>
      <c r="D32" s="472"/>
      <c r="E32" s="472"/>
      <c r="F32" s="472"/>
      <c r="G32" s="472"/>
      <c r="H32" s="21"/>
      <c r="I32" s="21"/>
      <c r="J32" s="21"/>
    </row>
    <row r="33" spans="1:10" ht="14.25">
      <c r="A33" s="201">
        <f t="shared" si="0"/>
        <v>23</v>
      </c>
      <c r="B33" s="201" t="s">
        <v>613</v>
      </c>
      <c r="C33" s="472"/>
      <c r="D33" s="472"/>
      <c r="E33" s="472"/>
      <c r="F33" s="472"/>
      <c r="G33" s="472"/>
      <c r="H33" s="21"/>
      <c r="I33" s="21"/>
      <c r="J33" s="21"/>
    </row>
    <row r="34" spans="1:7" ht="14.25">
      <c r="A34" s="201">
        <f t="shared" si="0"/>
        <v>24</v>
      </c>
      <c r="B34" s="201" t="s">
        <v>614</v>
      </c>
      <c r="C34" s="17"/>
      <c r="D34" s="17"/>
      <c r="E34" s="472"/>
      <c r="F34" s="472"/>
      <c r="G34" s="472"/>
    </row>
    <row r="35" spans="1:7" ht="14.25">
      <c r="A35" s="201">
        <f t="shared" si="0"/>
        <v>25</v>
      </c>
      <c r="B35" s="201" t="s">
        <v>615</v>
      </c>
      <c r="C35" s="233"/>
      <c r="D35" s="233"/>
      <c r="E35" s="233"/>
      <c r="F35" s="233"/>
      <c r="G35" s="233"/>
    </row>
    <row r="36" spans="1:7" ht="14.25">
      <c r="A36" s="201">
        <f t="shared" si="0"/>
        <v>26</v>
      </c>
      <c r="B36" s="201" t="s">
        <v>616</v>
      </c>
      <c r="C36" s="233"/>
      <c r="D36" s="233"/>
      <c r="E36" s="233"/>
      <c r="F36" s="233"/>
      <c r="G36" s="233"/>
    </row>
    <row r="37" spans="1:7" ht="14.25">
      <c r="A37" s="201">
        <f t="shared" si="0"/>
        <v>27</v>
      </c>
      <c r="B37" s="201" t="s">
        <v>617</v>
      </c>
      <c r="C37" s="233"/>
      <c r="D37" s="233"/>
      <c r="E37" s="233"/>
      <c r="F37" s="233"/>
      <c r="G37" s="233"/>
    </row>
    <row r="38" spans="1:7" ht="14.25">
      <c r="A38" s="201">
        <f t="shared" si="0"/>
        <v>28</v>
      </c>
      <c r="B38" s="201" t="s">
        <v>618</v>
      </c>
      <c r="C38" s="233"/>
      <c r="D38" s="233"/>
      <c r="E38" s="233"/>
      <c r="F38" s="233"/>
      <c r="G38" s="233"/>
    </row>
    <row r="39" spans="1:7" ht="14.25">
      <c r="A39" s="201">
        <f t="shared" si="0"/>
        <v>29</v>
      </c>
      <c r="B39" s="201" t="s">
        <v>619</v>
      </c>
      <c r="C39" s="233"/>
      <c r="D39" s="233"/>
      <c r="E39" s="233"/>
      <c r="F39" s="233"/>
      <c r="G39" s="233"/>
    </row>
    <row r="40" spans="1:7" ht="14.25">
      <c r="A40" s="201">
        <f t="shared" si="0"/>
        <v>30</v>
      </c>
      <c r="B40" s="143" t="s">
        <v>620</v>
      </c>
      <c r="C40" s="233"/>
      <c r="D40" s="233"/>
      <c r="E40" s="233"/>
      <c r="F40" s="233"/>
      <c r="G40" s="233"/>
    </row>
    <row r="41" spans="1:7" ht="14.25">
      <c r="A41" s="201">
        <f t="shared" si="0"/>
        <v>31</v>
      </c>
      <c r="B41" s="143" t="s">
        <v>621</v>
      </c>
      <c r="C41" s="233"/>
      <c r="D41" s="233"/>
      <c r="E41" s="233"/>
      <c r="F41" s="233"/>
      <c r="G41" s="233"/>
    </row>
    <row r="42" spans="1:7" ht="14.25">
      <c r="A42" s="201">
        <f t="shared" si="0"/>
        <v>32</v>
      </c>
      <c r="B42" s="143" t="s">
        <v>622</v>
      </c>
      <c r="C42" s="233"/>
      <c r="D42" s="233"/>
      <c r="E42" s="233"/>
      <c r="F42" s="233"/>
      <c r="G42" s="233"/>
    </row>
    <row r="43" spans="1:7" ht="14.25">
      <c r="A43" s="201">
        <f t="shared" si="0"/>
        <v>33</v>
      </c>
      <c r="B43" s="143" t="s">
        <v>623</v>
      </c>
      <c r="C43" s="233"/>
      <c r="D43" s="233"/>
      <c r="E43" s="233"/>
      <c r="F43" s="233"/>
      <c r="G43" s="233"/>
    </row>
    <row r="44" spans="1:7" ht="14.25">
      <c r="A44" s="150"/>
      <c r="B44" s="150" t="s">
        <v>624</v>
      </c>
      <c r="C44" s="233"/>
      <c r="D44" s="233"/>
      <c r="E44" s="233"/>
      <c r="F44" s="233"/>
      <c r="G44" s="233"/>
    </row>
    <row r="48" spans="5:7" ht="15">
      <c r="E48" s="904" t="s">
        <v>860</v>
      </c>
      <c r="F48" s="904"/>
      <c r="G48" s="904"/>
    </row>
    <row r="49" spans="5:7" ht="15">
      <c r="E49" s="904" t="s">
        <v>804</v>
      </c>
      <c r="F49" s="904"/>
      <c r="G49" s="904"/>
    </row>
  </sheetData>
  <sheetProtection/>
  <mergeCells count="10">
    <mergeCell ref="E48:G48"/>
    <mergeCell ref="E49:G49"/>
    <mergeCell ref="F1:G1"/>
    <mergeCell ref="B2:F2"/>
    <mergeCell ref="B4:H4"/>
    <mergeCell ref="A8:A9"/>
    <mergeCell ref="B8:B9"/>
    <mergeCell ref="C8:C9"/>
    <mergeCell ref="D8:D9"/>
    <mergeCell ref="E8:G8"/>
  </mergeCells>
  <printOptions horizontalCentered="1"/>
  <pageMargins left="0.7" right="0.7" top="0.36" bottom="0.39" header="0.3" footer="0.3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V49"/>
  <sheetViews>
    <sheetView view="pageBreakPreview" zoomScale="55" zoomScaleNormal="70" zoomScaleSheetLayoutView="55" zoomScalePageLayoutView="0" workbookViewId="0" topLeftCell="A1">
      <selection activeCell="C12" sqref="C12:V45"/>
    </sheetView>
  </sheetViews>
  <sheetFormatPr defaultColWidth="9.140625" defaultRowHeight="12.75"/>
  <cols>
    <col min="1" max="1" width="9.140625" style="226" customWidth="1"/>
    <col min="2" max="2" width="18.421875" style="226" customWidth="1"/>
    <col min="3" max="3" width="7.140625" style="226" customWidth="1"/>
    <col min="4" max="4" width="6.8515625" style="226" customWidth="1"/>
    <col min="5" max="5" width="7.421875" style="226" customWidth="1"/>
    <col min="6" max="6" width="9.140625" style="226" customWidth="1"/>
    <col min="7" max="7" width="7.421875" style="226" customWidth="1"/>
    <col min="8" max="9" width="7.00390625" style="226" customWidth="1"/>
    <col min="10" max="10" width="7.140625" style="226" customWidth="1"/>
    <col min="11" max="11" width="6.8515625" style="226" customWidth="1"/>
    <col min="12" max="12" width="9.7109375" style="226" customWidth="1"/>
    <col min="13" max="14" width="6.8515625" style="226" customWidth="1"/>
    <col min="15" max="15" width="7.00390625" style="226" customWidth="1"/>
    <col min="16" max="16" width="7.28125" style="226" customWidth="1"/>
    <col min="17" max="19" width="7.421875" style="226" customWidth="1"/>
    <col min="20" max="20" width="7.8515625" style="226" customWidth="1"/>
    <col min="21" max="21" width="9.7109375" style="226" customWidth="1"/>
    <col min="22" max="22" width="12.8515625" style="226" customWidth="1"/>
    <col min="23" max="23" width="9.00390625" style="226" bestFit="1" customWidth="1"/>
    <col min="24" max="24" width="10.7109375" style="226" bestFit="1" customWidth="1"/>
    <col min="25" max="25" width="10.57421875" style="226" bestFit="1" customWidth="1"/>
    <col min="26" max="26" width="7.00390625" style="226" bestFit="1" customWidth="1"/>
    <col min="27" max="27" width="6.57421875" style="226" bestFit="1" customWidth="1"/>
    <col min="28" max="28" width="10.57421875" style="226" customWidth="1"/>
    <col min="29" max="29" width="11.140625" style="226" customWidth="1"/>
    <col min="30" max="30" width="10.7109375" style="226" bestFit="1" customWidth="1"/>
    <col min="31" max="31" width="10.57421875" style="226" bestFit="1" customWidth="1"/>
    <col min="32" max="32" width="8.7109375" style="226" customWidth="1"/>
    <col min="33" max="16384" width="9.140625" style="226" customWidth="1"/>
  </cols>
  <sheetData>
    <row r="1" spans="3:24" s="6" customFormat="1" ht="15.75">
      <c r="C1" s="27"/>
      <c r="D1" s="27"/>
      <c r="E1" s="27"/>
      <c r="F1" s="27"/>
      <c r="G1" s="27"/>
      <c r="H1" s="27"/>
      <c r="I1" s="49" t="s">
        <v>0</v>
      </c>
      <c r="J1" s="49"/>
      <c r="S1" s="176"/>
      <c r="T1" s="176"/>
      <c r="U1" s="641" t="s">
        <v>536</v>
      </c>
      <c r="V1" s="641"/>
      <c r="W1" s="25"/>
      <c r="X1" s="25"/>
    </row>
    <row r="2" spans="5:16" s="6" customFormat="1" ht="20.25">
      <c r="E2" s="563" t="s">
        <v>695</v>
      </c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</row>
    <row r="3" spans="8:16" s="6" customFormat="1" ht="20.25">
      <c r="H3" s="26"/>
      <c r="I3" s="26"/>
      <c r="J3" s="26"/>
      <c r="K3" s="26"/>
      <c r="L3" s="26"/>
      <c r="M3" s="26"/>
      <c r="N3" s="26"/>
      <c r="O3" s="26"/>
      <c r="P3" s="26"/>
    </row>
    <row r="4" spans="3:23" ht="15.75">
      <c r="C4" s="564" t="s">
        <v>837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157"/>
      <c r="S4" s="422"/>
      <c r="T4" s="422"/>
      <c r="U4" s="422"/>
      <c r="V4" s="422"/>
      <c r="W4" s="49"/>
    </row>
    <row r="5" spans="3:23" ht="14.25">
      <c r="C5" s="227"/>
      <c r="D5" s="227"/>
      <c r="E5" s="227"/>
      <c r="F5" s="227"/>
      <c r="G5" s="227"/>
      <c r="H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1:2" ht="15">
      <c r="A6" s="229" t="s">
        <v>771</v>
      </c>
      <c r="B6" s="235"/>
    </row>
    <row r="7" ht="14.25">
      <c r="B7" s="417"/>
    </row>
    <row r="8" spans="1:22" s="229" customFormat="1" ht="15" customHeight="1">
      <c r="A8" s="530" t="s">
        <v>2</v>
      </c>
      <c r="B8" s="892" t="s">
        <v>3</v>
      </c>
      <c r="C8" s="889" t="s">
        <v>772</v>
      </c>
      <c r="D8" s="890"/>
      <c r="E8" s="890"/>
      <c r="F8" s="890"/>
      <c r="G8" s="889" t="s">
        <v>773</v>
      </c>
      <c r="H8" s="890"/>
      <c r="I8" s="890"/>
      <c r="J8" s="890"/>
      <c r="K8" s="889" t="s">
        <v>774</v>
      </c>
      <c r="L8" s="890"/>
      <c r="M8" s="890"/>
      <c r="N8" s="890"/>
      <c r="O8" s="889" t="s">
        <v>775</v>
      </c>
      <c r="P8" s="890"/>
      <c r="Q8" s="890"/>
      <c r="R8" s="890"/>
      <c r="S8" s="910" t="s">
        <v>16</v>
      </c>
      <c r="T8" s="911"/>
      <c r="U8" s="911"/>
      <c r="V8" s="911"/>
    </row>
    <row r="9" spans="1:22" s="231" customFormat="1" ht="15">
      <c r="A9" s="530"/>
      <c r="B9" s="892"/>
      <c r="C9" s="913" t="s">
        <v>776</v>
      </c>
      <c r="D9" s="910" t="s">
        <v>777</v>
      </c>
      <c r="E9" s="911"/>
      <c r="F9" s="912"/>
      <c r="G9" s="913" t="s">
        <v>776</v>
      </c>
      <c r="H9" s="910" t="s">
        <v>777</v>
      </c>
      <c r="I9" s="911"/>
      <c r="J9" s="912"/>
      <c r="K9" s="913" t="s">
        <v>776</v>
      </c>
      <c r="L9" s="910" t="s">
        <v>777</v>
      </c>
      <c r="M9" s="911"/>
      <c r="N9" s="912"/>
      <c r="O9" s="913" t="s">
        <v>776</v>
      </c>
      <c r="P9" s="910" t="s">
        <v>777</v>
      </c>
      <c r="Q9" s="911"/>
      <c r="R9" s="912"/>
      <c r="S9" s="913" t="s">
        <v>776</v>
      </c>
      <c r="T9" s="910" t="s">
        <v>777</v>
      </c>
      <c r="U9" s="911"/>
      <c r="V9" s="912"/>
    </row>
    <row r="10" spans="1:22" s="231" customFormat="1" ht="45">
      <c r="A10" s="530"/>
      <c r="B10" s="892"/>
      <c r="C10" s="914"/>
      <c r="D10" s="36" t="s">
        <v>778</v>
      </c>
      <c r="E10" s="36" t="s">
        <v>201</v>
      </c>
      <c r="F10" s="36" t="s">
        <v>16</v>
      </c>
      <c r="G10" s="914"/>
      <c r="H10" s="36" t="s">
        <v>778</v>
      </c>
      <c r="I10" s="36" t="s">
        <v>201</v>
      </c>
      <c r="J10" s="36" t="s">
        <v>16</v>
      </c>
      <c r="K10" s="914"/>
      <c r="L10" s="36" t="s">
        <v>778</v>
      </c>
      <c r="M10" s="36" t="s">
        <v>201</v>
      </c>
      <c r="N10" s="36" t="s">
        <v>16</v>
      </c>
      <c r="O10" s="914"/>
      <c r="P10" s="36" t="s">
        <v>778</v>
      </c>
      <c r="Q10" s="36" t="s">
        <v>201</v>
      </c>
      <c r="R10" s="36" t="s">
        <v>16</v>
      </c>
      <c r="S10" s="914"/>
      <c r="T10" s="36" t="s">
        <v>778</v>
      </c>
      <c r="U10" s="36" t="s">
        <v>201</v>
      </c>
      <c r="V10" s="36" t="s">
        <v>16</v>
      </c>
    </row>
    <row r="11" spans="1:22" s="239" customFormat="1" ht="14.25">
      <c r="A11" s="211">
        <v>1</v>
      </c>
      <c r="B11" s="71">
        <v>2</v>
      </c>
      <c r="C11" s="71">
        <v>3</v>
      </c>
      <c r="D11" s="211">
        <v>4</v>
      </c>
      <c r="E11" s="71">
        <v>5</v>
      </c>
      <c r="F11" s="71">
        <v>6</v>
      </c>
      <c r="G11" s="211">
        <v>7</v>
      </c>
      <c r="H11" s="71">
        <v>8</v>
      </c>
      <c r="I11" s="71">
        <v>9</v>
      </c>
      <c r="J11" s="211">
        <v>10</v>
      </c>
      <c r="K11" s="71">
        <v>11</v>
      </c>
      <c r="L11" s="71">
        <v>12</v>
      </c>
      <c r="M11" s="211">
        <v>13</v>
      </c>
      <c r="N11" s="71">
        <v>14</v>
      </c>
      <c r="O11" s="71">
        <v>15</v>
      </c>
      <c r="P11" s="211">
        <v>16</v>
      </c>
      <c r="Q11" s="71">
        <v>17</v>
      </c>
      <c r="R11" s="71">
        <v>18</v>
      </c>
      <c r="S11" s="211">
        <v>19</v>
      </c>
      <c r="T11" s="71">
        <v>20</v>
      </c>
      <c r="U11" s="71">
        <v>21</v>
      </c>
      <c r="V11" s="211">
        <v>22</v>
      </c>
    </row>
    <row r="12" spans="1:22" ht="14.25">
      <c r="A12" s="201">
        <v>1</v>
      </c>
      <c r="B12" s="201" t="s">
        <v>633</v>
      </c>
      <c r="C12" s="915" t="s">
        <v>638</v>
      </c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7"/>
    </row>
    <row r="13" spans="1:22" ht="14.25">
      <c r="A13" s="201">
        <f>A12+1</f>
        <v>2</v>
      </c>
      <c r="B13" s="201" t="s">
        <v>598</v>
      </c>
      <c r="C13" s="918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20"/>
    </row>
    <row r="14" spans="1:22" ht="14.25">
      <c r="A14" s="201">
        <f aca="true" t="shared" si="0" ref="A14:A44">A13+1</f>
        <v>3</v>
      </c>
      <c r="B14" s="201" t="s">
        <v>634</v>
      </c>
      <c r="C14" s="918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20"/>
    </row>
    <row r="15" spans="1:22" ht="14.25">
      <c r="A15" s="201">
        <f t="shared" si="0"/>
        <v>4</v>
      </c>
      <c r="B15" s="201" t="s">
        <v>599</v>
      </c>
      <c r="C15" s="918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20"/>
    </row>
    <row r="16" spans="1:22" ht="14.25">
      <c r="A16" s="201">
        <f t="shared" si="0"/>
        <v>5</v>
      </c>
      <c r="B16" s="201" t="s">
        <v>600</v>
      </c>
      <c r="C16" s="918"/>
      <c r="D16" s="919"/>
      <c r="E16" s="919"/>
      <c r="F16" s="919"/>
      <c r="G16" s="919"/>
      <c r="H16" s="919"/>
      <c r="I16" s="919"/>
      <c r="J16" s="919"/>
      <c r="K16" s="919"/>
      <c r="L16" s="919"/>
      <c r="M16" s="919"/>
      <c r="N16" s="919"/>
      <c r="O16" s="919"/>
      <c r="P16" s="919"/>
      <c r="Q16" s="919"/>
      <c r="R16" s="919"/>
      <c r="S16" s="919"/>
      <c r="T16" s="919"/>
      <c r="U16" s="919"/>
      <c r="V16" s="920"/>
    </row>
    <row r="17" spans="1:22" ht="14.25">
      <c r="A17" s="201">
        <f t="shared" si="0"/>
        <v>6</v>
      </c>
      <c r="B17" s="201" t="s">
        <v>601</v>
      </c>
      <c r="C17" s="918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919"/>
      <c r="S17" s="919"/>
      <c r="T17" s="919"/>
      <c r="U17" s="919"/>
      <c r="V17" s="920"/>
    </row>
    <row r="18" spans="1:22" ht="14.25">
      <c r="A18" s="201">
        <f t="shared" si="0"/>
        <v>7</v>
      </c>
      <c r="B18" s="201" t="s">
        <v>602</v>
      </c>
      <c r="C18" s="918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20"/>
    </row>
    <row r="19" spans="1:22" ht="14.25">
      <c r="A19" s="201">
        <f t="shared" si="0"/>
        <v>8</v>
      </c>
      <c r="B19" s="201" t="s">
        <v>603</v>
      </c>
      <c r="C19" s="918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20"/>
    </row>
    <row r="20" spans="1:22" ht="14.25">
      <c r="A20" s="201">
        <f t="shared" si="0"/>
        <v>9</v>
      </c>
      <c r="B20" s="201" t="s">
        <v>604</v>
      </c>
      <c r="C20" s="918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20"/>
    </row>
    <row r="21" spans="1:22" ht="14.25">
      <c r="A21" s="201">
        <f t="shared" si="0"/>
        <v>10</v>
      </c>
      <c r="B21" s="201" t="s">
        <v>605</v>
      </c>
      <c r="C21" s="918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20"/>
    </row>
    <row r="22" spans="1:22" ht="14.25">
      <c r="A22" s="201">
        <f t="shared" si="0"/>
        <v>11</v>
      </c>
      <c r="B22" s="201" t="s">
        <v>635</v>
      </c>
      <c r="C22" s="918"/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20"/>
    </row>
    <row r="23" spans="1:22" ht="14.25">
      <c r="A23" s="201">
        <f t="shared" si="0"/>
        <v>12</v>
      </c>
      <c r="B23" s="201" t="s">
        <v>606</v>
      </c>
      <c r="C23" s="918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20"/>
    </row>
    <row r="24" spans="1:22" ht="14.25">
      <c r="A24" s="201">
        <f t="shared" si="0"/>
        <v>13</v>
      </c>
      <c r="B24" s="201" t="s">
        <v>607</v>
      </c>
      <c r="C24" s="918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20"/>
    </row>
    <row r="25" spans="1:22" ht="14.25">
      <c r="A25" s="201">
        <f t="shared" si="0"/>
        <v>14</v>
      </c>
      <c r="B25" s="201" t="s">
        <v>636</v>
      </c>
      <c r="C25" s="918"/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20"/>
    </row>
    <row r="26" spans="1:48" s="233" customFormat="1" ht="14.25">
      <c r="A26" s="201">
        <f t="shared" si="0"/>
        <v>15</v>
      </c>
      <c r="B26" s="201" t="s">
        <v>608</v>
      </c>
      <c r="C26" s="918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20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</row>
    <row r="27" spans="1:22" ht="14.25">
      <c r="A27" s="201">
        <f t="shared" si="0"/>
        <v>16</v>
      </c>
      <c r="B27" s="201" t="s">
        <v>609</v>
      </c>
      <c r="C27" s="918"/>
      <c r="D27" s="919"/>
      <c r="E27" s="919"/>
      <c r="F27" s="919"/>
      <c r="G27" s="919"/>
      <c r="H27" s="919"/>
      <c r="I27" s="919"/>
      <c r="J27" s="919"/>
      <c r="K27" s="919"/>
      <c r="L27" s="919"/>
      <c r="M27" s="919"/>
      <c r="N27" s="919"/>
      <c r="O27" s="919"/>
      <c r="P27" s="919"/>
      <c r="Q27" s="919"/>
      <c r="R27" s="919"/>
      <c r="S27" s="919"/>
      <c r="T27" s="919"/>
      <c r="U27" s="919"/>
      <c r="V27" s="920"/>
    </row>
    <row r="28" spans="1:22" ht="14.25">
      <c r="A28" s="201">
        <f t="shared" si="0"/>
        <v>17</v>
      </c>
      <c r="B28" s="269" t="s">
        <v>757</v>
      </c>
      <c r="C28" s="918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919"/>
      <c r="V28" s="920"/>
    </row>
    <row r="29" spans="1:22" ht="14.25">
      <c r="A29" s="201">
        <f t="shared" si="0"/>
        <v>18</v>
      </c>
      <c r="B29" s="201" t="s">
        <v>610</v>
      </c>
      <c r="C29" s="918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19"/>
      <c r="P29" s="919"/>
      <c r="Q29" s="919"/>
      <c r="R29" s="919"/>
      <c r="S29" s="919"/>
      <c r="T29" s="919"/>
      <c r="U29" s="919"/>
      <c r="V29" s="920"/>
    </row>
    <row r="30" spans="1:22" s="6" customFormat="1" ht="14.25" customHeight="1">
      <c r="A30" s="201">
        <f t="shared" si="0"/>
        <v>19</v>
      </c>
      <c r="B30" s="201" t="s">
        <v>611</v>
      </c>
      <c r="C30" s="918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19"/>
      <c r="T30" s="919"/>
      <c r="U30" s="919"/>
      <c r="V30" s="920"/>
    </row>
    <row r="31" spans="1:22" s="6" customFormat="1" ht="14.25" customHeight="1">
      <c r="A31" s="201">
        <f t="shared" si="0"/>
        <v>20</v>
      </c>
      <c r="B31" s="269" t="s">
        <v>758</v>
      </c>
      <c r="C31" s="918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919"/>
      <c r="Q31" s="919"/>
      <c r="R31" s="919"/>
      <c r="S31" s="919"/>
      <c r="T31" s="919"/>
      <c r="U31" s="919"/>
      <c r="V31" s="920"/>
    </row>
    <row r="32" spans="1:22" s="6" customFormat="1" ht="14.25" customHeight="1">
      <c r="A32" s="201">
        <f t="shared" si="0"/>
        <v>21</v>
      </c>
      <c r="B32" s="201" t="s">
        <v>637</v>
      </c>
      <c r="C32" s="918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20"/>
    </row>
    <row r="33" spans="1:22" s="6" customFormat="1" ht="14.25" customHeight="1">
      <c r="A33" s="201">
        <f t="shared" si="0"/>
        <v>22</v>
      </c>
      <c r="B33" s="201" t="s">
        <v>612</v>
      </c>
      <c r="C33" s="918"/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919"/>
      <c r="V33" s="920"/>
    </row>
    <row r="34" spans="1:22" ht="14.25">
      <c r="A34" s="201">
        <f t="shared" si="0"/>
        <v>23</v>
      </c>
      <c r="B34" s="201" t="s">
        <v>613</v>
      </c>
      <c r="C34" s="918"/>
      <c r="D34" s="919"/>
      <c r="E34" s="919"/>
      <c r="F34" s="919"/>
      <c r="G34" s="919"/>
      <c r="H34" s="919"/>
      <c r="I34" s="919"/>
      <c r="J34" s="919"/>
      <c r="K34" s="919"/>
      <c r="L34" s="919"/>
      <c r="M34" s="919"/>
      <c r="N34" s="919"/>
      <c r="O34" s="919"/>
      <c r="P34" s="919"/>
      <c r="Q34" s="919"/>
      <c r="R34" s="919"/>
      <c r="S34" s="919"/>
      <c r="T34" s="919"/>
      <c r="U34" s="919"/>
      <c r="V34" s="920"/>
    </row>
    <row r="35" spans="1:22" ht="14.25">
      <c r="A35" s="201">
        <f t="shared" si="0"/>
        <v>24</v>
      </c>
      <c r="B35" s="201" t="s">
        <v>614</v>
      </c>
      <c r="C35" s="918"/>
      <c r="D35" s="919"/>
      <c r="E35" s="919"/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20"/>
    </row>
    <row r="36" spans="1:22" ht="14.25">
      <c r="A36" s="201">
        <f t="shared" si="0"/>
        <v>25</v>
      </c>
      <c r="B36" s="201" t="s">
        <v>615</v>
      </c>
      <c r="C36" s="918"/>
      <c r="D36" s="91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20"/>
    </row>
    <row r="37" spans="1:22" ht="14.25">
      <c r="A37" s="201">
        <f t="shared" si="0"/>
        <v>26</v>
      </c>
      <c r="B37" s="201" t="s">
        <v>616</v>
      </c>
      <c r="C37" s="918"/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20"/>
    </row>
    <row r="38" spans="1:22" ht="14.25">
      <c r="A38" s="201">
        <f t="shared" si="0"/>
        <v>27</v>
      </c>
      <c r="B38" s="201" t="s">
        <v>617</v>
      </c>
      <c r="C38" s="918"/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20"/>
    </row>
    <row r="39" spans="1:22" ht="14.25">
      <c r="A39" s="201">
        <f t="shared" si="0"/>
        <v>28</v>
      </c>
      <c r="B39" s="201" t="s">
        <v>618</v>
      </c>
      <c r="C39" s="918"/>
      <c r="D39" s="91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19"/>
      <c r="P39" s="919"/>
      <c r="Q39" s="919"/>
      <c r="R39" s="919"/>
      <c r="S39" s="919"/>
      <c r="T39" s="919"/>
      <c r="U39" s="919"/>
      <c r="V39" s="920"/>
    </row>
    <row r="40" spans="1:22" ht="14.25">
      <c r="A40" s="201">
        <f t="shared" si="0"/>
        <v>29</v>
      </c>
      <c r="B40" s="201" t="s">
        <v>619</v>
      </c>
      <c r="C40" s="918"/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920"/>
    </row>
    <row r="41" spans="1:22" ht="14.25">
      <c r="A41" s="201">
        <f t="shared" si="0"/>
        <v>30</v>
      </c>
      <c r="B41" s="143" t="s">
        <v>620</v>
      </c>
      <c r="C41" s="918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20"/>
    </row>
    <row r="42" spans="1:22" ht="14.25">
      <c r="A42" s="201">
        <f t="shared" si="0"/>
        <v>31</v>
      </c>
      <c r="B42" s="143" t="s">
        <v>621</v>
      </c>
      <c r="C42" s="918"/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20"/>
    </row>
    <row r="43" spans="1:22" ht="14.25">
      <c r="A43" s="201">
        <f t="shared" si="0"/>
        <v>32</v>
      </c>
      <c r="B43" s="143" t="s">
        <v>622</v>
      </c>
      <c r="C43" s="918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20"/>
    </row>
    <row r="44" spans="1:22" ht="14.25">
      <c r="A44" s="201">
        <f t="shared" si="0"/>
        <v>33</v>
      </c>
      <c r="B44" s="143" t="s">
        <v>623</v>
      </c>
      <c r="C44" s="918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20"/>
    </row>
    <row r="45" spans="1:22" ht="15" customHeight="1">
      <c r="A45" s="150"/>
      <c r="B45" s="150" t="s">
        <v>624</v>
      </c>
      <c r="C45" s="921"/>
      <c r="D45" s="922"/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3"/>
    </row>
    <row r="48" spans="19:22" ht="15">
      <c r="S48" s="904" t="s">
        <v>860</v>
      </c>
      <c r="T48" s="904"/>
      <c r="U48" s="904"/>
      <c r="V48" s="904"/>
    </row>
    <row r="49" spans="19:22" ht="15">
      <c r="S49" s="904" t="s">
        <v>804</v>
      </c>
      <c r="T49" s="904"/>
      <c r="U49" s="904"/>
      <c r="V49" s="904"/>
    </row>
  </sheetData>
  <sheetProtection/>
  <mergeCells count="23">
    <mergeCell ref="C12:V45"/>
    <mergeCell ref="S9:S10"/>
    <mergeCell ref="A8:A10"/>
    <mergeCell ref="B8:B10"/>
    <mergeCell ref="G9:G10"/>
    <mergeCell ref="H9:J9"/>
    <mergeCell ref="K9:K10"/>
    <mergeCell ref="S8:V8"/>
    <mergeCell ref="C9:C10"/>
    <mergeCell ref="D9:F9"/>
    <mergeCell ref="L9:N9"/>
    <mergeCell ref="O9:O10"/>
    <mergeCell ref="P9:R9"/>
    <mergeCell ref="S48:V48"/>
    <mergeCell ref="S49:V49"/>
    <mergeCell ref="T9:V9"/>
    <mergeCell ref="U1:V1"/>
    <mergeCell ref="E2:P2"/>
    <mergeCell ref="C4:Q4"/>
    <mergeCell ref="C8:F8"/>
    <mergeCell ref="G8:J8"/>
    <mergeCell ref="K8:N8"/>
    <mergeCell ref="O8:R8"/>
  </mergeCells>
  <printOptions horizontalCentered="1"/>
  <pageMargins left="0.38" right="0.39" top="0.53" bottom="0" header="0.31496062992126" footer="0.31496062992126"/>
  <pageSetup horizontalDpi="600" verticalDpi="600" orientation="landscape" paperSize="9" scale="75" r:id="rId1"/>
  <colBreaks count="1" manualBreakCount="1">
    <brk id="22" max="48" man="1"/>
  </col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AV49"/>
  <sheetViews>
    <sheetView tabSelected="1" zoomScale="85" zoomScaleNormal="85" zoomScaleSheetLayoutView="55" zoomScalePageLayoutView="0" workbookViewId="0" topLeftCell="B17">
      <selection activeCell="V46" sqref="V46"/>
    </sheetView>
  </sheetViews>
  <sheetFormatPr defaultColWidth="9.140625" defaultRowHeight="12.75"/>
  <cols>
    <col min="1" max="1" width="9.140625" style="226" customWidth="1"/>
    <col min="2" max="2" width="19.28125" style="226" bestFit="1" customWidth="1"/>
    <col min="3" max="21" width="9.140625" style="226" customWidth="1"/>
    <col min="22" max="22" width="10.7109375" style="226" bestFit="1" customWidth="1"/>
    <col min="23" max="16384" width="9.140625" style="226" customWidth="1"/>
  </cols>
  <sheetData>
    <row r="1" spans="1:24" s="6" customFormat="1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641" t="s">
        <v>769</v>
      </c>
      <c r="V1" s="641"/>
      <c r="W1" s="25"/>
      <c r="X1" s="25"/>
    </row>
    <row r="2" spans="1:22" s="6" customFormat="1" ht="20.25">
      <c r="A2" s="563" t="s">
        <v>695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</row>
    <row r="3" spans="8:16" s="6" customFormat="1" ht="20.25">
      <c r="H3" s="26"/>
      <c r="I3" s="26"/>
      <c r="J3" s="26"/>
      <c r="K3" s="26"/>
      <c r="L3" s="26"/>
      <c r="M3" s="26"/>
      <c r="N3" s="26"/>
      <c r="O3" s="26"/>
      <c r="P3" s="26"/>
    </row>
    <row r="4" spans="1:23" ht="15.75">
      <c r="A4" s="564" t="s">
        <v>770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49"/>
    </row>
    <row r="5" spans="3:23" ht="14.25">
      <c r="C5" s="227"/>
      <c r="D5" s="227"/>
      <c r="E5" s="227"/>
      <c r="F5" s="227"/>
      <c r="G5" s="227"/>
      <c r="H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1:2" ht="15">
      <c r="A6" s="229" t="s">
        <v>771</v>
      </c>
      <c r="B6" s="235"/>
    </row>
    <row r="7" ht="14.25">
      <c r="B7" s="417"/>
    </row>
    <row r="8" spans="1:22" s="229" customFormat="1" ht="15">
      <c r="A8" s="530" t="s">
        <v>2</v>
      </c>
      <c r="B8" s="892" t="s">
        <v>3</v>
      </c>
      <c r="C8" s="889" t="s">
        <v>772</v>
      </c>
      <c r="D8" s="890"/>
      <c r="E8" s="890"/>
      <c r="F8" s="890"/>
      <c r="G8" s="889" t="s">
        <v>773</v>
      </c>
      <c r="H8" s="890"/>
      <c r="I8" s="890"/>
      <c r="J8" s="890"/>
      <c r="K8" s="889" t="s">
        <v>774</v>
      </c>
      <c r="L8" s="890"/>
      <c r="M8" s="890"/>
      <c r="N8" s="890"/>
      <c r="O8" s="889" t="s">
        <v>775</v>
      </c>
      <c r="P8" s="890"/>
      <c r="Q8" s="890"/>
      <c r="R8" s="890"/>
      <c r="S8" s="894" t="s">
        <v>16</v>
      </c>
      <c r="T8" s="894"/>
      <c r="U8" s="894"/>
      <c r="V8" s="894"/>
    </row>
    <row r="9" spans="1:22" s="231" customFormat="1" ht="15">
      <c r="A9" s="530"/>
      <c r="B9" s="892"/>
      <c r="C9" s="913" t="s">
        <v>776</v>
      </c>
      <c r="D9" s="910" t="s">
        <v>777</v>
      </c>
      <c r="E9" s="911"/>
      <c r="F9" s="912"/>
      <c r="G9" s="913" t="s">
        <v>776</v>
      </c>
      <c r="H9" s="910" t="s">
        <v>777</v>
      </c>
      <c r="I9" s="911"/>
      <c r="J9" s="912"/>
      <c r="K9" s="913" t="s">
        <v>776</v>
      </c>
      <c r="L9" s="910" t="s">
        <v>777</v>
      </c>
      <c r="M9" s="911"/>
      <c r="N9" s="912"/>
      <c r="O9" s="913" t="s">
        <v>776</v>
      </c>
      <c r="P9" s="910" t="s">
        <v>777</v>
      </c>
      <c r="Q9" s="911"/>
      <c r="R9" s="912"/>
      <c r="S9" s="894" t="s">
        <v>776</v>
      </c>
      <c r="T9" s="894" t="s">
        <v>777</v>
      </c>
      <c r="U9" s="894"/>
      <c r="V9" s="894"/>
    </row>
    <row r="10" spans="1:22" s="231" customFormat="1" ht="30">
      <c r="A10" s="530"/>
      <c r="B10" s="892"/>
      <c r="C10" s="914"/>
      <c r="D10" s="36" t="s">
        <v>778</v>
      </c>
      <c r="E10" s="36" t="s">
        <v>201</v>
      </c>
      <c r="F10" s="36" t="s">
        <v>16</v>
      </c>
      <c r="G10" s="914"/>
      <c r="H10" s="36" t="s">
        <v>778</v>
      </c>
      <c r="I10" s="36" t="s">
        <v>201</v>
      </c>
      <c r="J10" s="36" t="s">
        <v>16</v>
      </c>
      <c r="K10" s="914"/>
      <c r="L10" s="36" t="s">
        <v>778</v>
      </c>
      <c r="M10" s="36" t="s">
        <v>201</v>
      </c>
      <c r="N10" s="36" t="s">
        <v>16</v>
      </c>
      <c r="O10" s="914"/>
      <c r="P10" s="36" t="s">
        <v>778</v>
      </c>
      <c r="Q10" s="36" t="s">
        <v>201</v>
      </c>
      <c r="R10" s="36" t="s">
        <v>16</v>
      </c>
      <c r="S10" s="894"/>
      <c r="T10" s="36" t="s">
        <v>778</v>
      </c>
      <c r="U10" s="36" t="s">
        <v>201</v>
      </c>
      <c r="V10" s="36" t="s">
        <v>16</v>
      </c>
    </row>
    <row r="11" spans="1:22" s="239" customFormat="1" ht="14.25">
      <c r="A11" s="211">
        <v>1</v>
      </c>
      <c r="B11" s="71">
        <v>2</v>
      </c>
      <c r="C11" s="71">
        <v>3</v>
      </c>
      <c r="D11" s="211">
        <v>4</v>
      </c>
      <c r="E11" s="71">
        <v>5</v>
      </c>
      <c r="F11" s="71">
        <v>6</v>
      </c>
      <c r="G11" s="211">
        <v>7</v>
      </c>
      <c r="H11" s="71">
        <v>8</v>
      </c>
      <c r="I11" s="71">
        <v>9</v>
      </c>
      <c r="J11" s="211">
        <v>10</v>
      </c>
      <c r="K11" s="71">
        <v>11</v>
      </c>
      <c r="L11" s="71">
        <v>12</v>
      </c>
      <c r="M11" s="211">
        <v>13</v>
      </c>
      <c r="N11" s="71">
        <v>14</v>
      </c>
      <c r="O11" s="71">
        <v>15</v>
      </c>
      <c r="P11" s="211">
        <v>16</v>
      </c>
      <c r="Q11" s="71">
        <v>17</v>
      </c>
      <c r="R11" s="71">
        <v>18</v>
      </c>
      <c r="S11" s="31">
        <v>19</v>
      </c>
      <c r="T11" s="419">
        <v>20</v>
      </c>
      <c r="U11" s="419">
        <v>21</v>
      </c>
      <c r="V11" s="31">
        <v>22</v>
      </c>
    </row>
    <row r="12" spans="1:22" ht="14.25">
      <c r="A12" s="201">
        <v>1</v>
      </c>
      <c r="B12" s="201" t="s">
        <v>633</v>
      </c>
      <c r="C12" s="233">
        <f>420-100</f>
        <v>320</v>
      </c>
      <c r="D12" s="233">
        <f>C12*10000*60%/100000</f>
        <v>19.2</v>
      </c>
      <c r="E12" s="233">
        <f>C12*10000*40%/100000</f>
        <v>12.8</v>
      </c>
      <c r="F12" s="486">
        <f>SUM(D12:E12)</f>
        <v>32</v>
      </c>
      <c r="G12" s="487">
        <f>198+30+30</f>
        <v>258</v>
      </c>
      <c r="H12" s="486">
        <f>G12*15000*60%/100000</f>
        <v>23.22</v>
      </c>
      <c r="I12" s="486">
        <f>G12*15000*40%/100000</f>
        <v>15.48</v>
      </c>
      <c r="J12" s="486">
        <f>SUM(H12:I12)</f>
        <v>38.7</v>
      </c>
      <c r="K12" s="487">
        <f>86+20</f>
        <v>106</v>
      </c>
      <c r="L12" s="486">
        <f>K12*20000*60%/100000</f>
        <v>12.72</v>
      </c>
      <c r="M12" s="486">
        <f>K12*20000*40%/100000</f>
        <v>8.48</v>
      </c>
      <c r="N12" s="486">
        <f>SUM(L12:M12)</f>
        <v>21.200000000000003</v>
      </c>
      <c r="O12" s="487">
        <f>33+20</f>
        <v>53</v>
      </c>
      <c r="P12" s="486">
        <f>O12*25000*60%/100000</f>
        <v>7.95</v>
      </c>
      <c r="Q12" s="486">
        <f>O12*25000*40%/100000</f>
        <v>5.3</v>
      </c>
      <c r="R12" s="486">
        <f>SUM(P12:Q12)</f>
        <v>13.25</v>
      </c>
      <c r="S12" s="233">
        <f>C12+G12+K12+O12</f>
        <v>737</v>
      </c>
      <c r="T12" s="486">
        <f>D12+H12+L12+P12</f>
        <v>63.09</v>
      </c>
      <c r="U12" s="486">
        <f>E12+I12+M12+Q12</f>
        <v>42.06</v>
      </c>
      <c r="V12" s="486">
        <f>SUM(T12:U12)</f>
        <v>105.15</v>
      </c>
    </row>
    <row r="13" spans="1:22" ht="14.25">
      <c r="A13" s="201">
        <f>A12+1</f>
        <v>2</v>
      </c>
      <c r="B13" s="201" t="s">
        <v>598</v>
      </c>
      <c r="C13" s="233">
        <v>390</v>
      </c>
      <c r="D13" s="233">
        <f aca="true" t="shared" si="0" ref="D13:D44">C13*10000*60%/100000</f>
        <v>23.4</v>
      </c>
      <c r="E13" s="233">
        <f aca="true" t="shared" si="1" ref="E13:E44">C13*10000*40%/100000</f>
        <v>15.6</v>
      </c>
      <c r="F13" s="486">
        <f aca="true" t="shared" si="2" ref="F13:F44">SUM(D13:E13)</f>
        <v>39</v>
      </c>
      <c r="G13" s="487">
        <v>230</v>
      </c>
      <c r="H13" s="486">
        <f aca="true" t="shared" si="3" ref="H13:H44">G13*15000*60%/100000</f>
        <v>20.7</v>
      </c>
      <c r="I13" s="486">
        <f>G13*15000*40%/100000</f>
        <v>13.8</v>
      </c>
      <c r="J13" s="486">
        <f aca="true" t="shared" si="4" ref="J13:J41">SUM(H13:I13)</f>
        <v>34.5</v>
      </c>
      <c r="K13" s="487">
        <f>34+30</f>
        <v>64</v>
      </c>
      <c r="L13" s="486">
        <f aca="true" t="shared" si="5" ref="L13:L44">K13*20000*60%/100000</f>
        <v>7.68</v>
      </c>
      <c r="M13" s="486">
        <f>K13*20000*40%/100000</f>
        <v>5.12</v>
      </c>
      <c r="N13" s="486">
        <f aca="true" t="shared" si="6" ref="N13:N44">SUM(L13:M13)</f>
        <v>12.8</v>
      </c>
      <c r="O13" s="487">
        <v>65</v>
      </c>
      <c r="P13" s="486">
        <f aca="true" t="shared" si="7" ref="P13:P44">O13*25000*60%/100000</f>
        <v>9.75</v>
      </c>
      <c r="Q13" s="486">
        <f>O13*25000*40%/100000</f>
        <v>6.5</v>
      </c>
      <c r="R13" s="486">
        <f aca="true" t="shared" si="8" ref="R13:R44">SUM(P13:Q13)</f>
        <v>16.25</v>
      </c>
      <c r="S13" s="233">
        <f aca="true" t="shared" si="9" ref="S13:S44">C13+G13+K13+O13</f>
        <v>749</v>
      </c>
      <c r="T13" s="486">
        <f>D13+H13+L13+P13</f>
        <v>61.529999999999994</v>
      </c>
      <c r="U13" s="486">
        <f>E13+I13+M13+Q13</f>
        <v>41.019999999999996</v>
      </c>
      <c r="V13" s="486">
        <f aca="true" t="shared" si="10" ref="V13:V44">SUM(T13:U13)</f>
        <v>102.54999999999998</v>
      </c>
    </row>
    <row r="14" spans="1:22" ht="14.25">
      <c r="A14" s="201">
        <f aca="true" t="shared" si="11" ref="A14:A44">A13+1</f>
        <v>3</v>
      </c>
      <c r="B14" s="201" t="s">
        <v>634</v>
      </c>
      <c r="C14" s="226">
        <v>0</v>
      </c>
      <c r="D14" s="233">
        <f t="shared" si="0"/>
        <v>0</v>
      </c>
      <c r="E14" s="233">
        <f t="shared" si="1"/>
        <v>0</v>
      </c>
      <c r="F14" s="486">
        <f t="shared" si="2"/>
        <v>0</v>
      </c>
      <c r="G14" s="226">
        <v>0</v>
      </c>
      <c r="H14" s="486">
        <f t="shared" si="3"/>
        <v>0</v>
      </c>
      <c r="I14" s="486">
        <f aca="true" t="shared" si="12" ref="I14:I44">G14*15000*40%/100000</f>
        <v>0</v>
      </c>
      <c r="J14" s="486">
        <f t="shared" si="4"/>
        <v>0</v>
      </c>
      <c r="K14" s="226">
        <v>0</v>
      </c>
      <c r="L14" s="486">
        <f t="shared" si="5"/>
        <v>0</v>
      </c>
      <c r="M14" s="486">
        <f aca="true" t="shared" si="13" ref="M14:M44">K14*20000*40%/100000</f>
        <v>0</v>
      </c>
      <c r="N14" s="486">
        <f t="shared" si="6"/>
        <v>0</v>
      </c>
      <c r="O14" s="226">
        <v>0</v>
      </c>
      <c r="P14" s="486">
        <f t="shared" si="7"/>
        <v>0</v>
      </c>
      <c r="Q14" s="486">
        <f aca="true" t="shared" si="14" ref="Q14:Q44">O14*25000*40%/100000</f>
        <v>0</v>
      </c>
      <c r="R14" s="486">
        <f t="shared" si="8"/>
        <v>0</v>
      </c>
      <c r="S14" s="233">
        <f t="shared" si="9"/>
        <v>0</v>
      </c>
      <c r="T14" s="486">
        <f aca="true" t="shared" si="15" ref="T14:T44">D14+H14+L14+P14</f>
        <v>0</v>
      </c>
      <c r="U14" s="486">
        <f aca="true" t="shared" si="16" ref="U14:U44">E14+I14+M14+Q14</f>
        <v>0</v>
      </c>
      <c r="V14" s="486">
        <f t="shared" si="10"/>
        <v>0</v>
      </c>
    </row>
    <row r="15" spans="1:22" ht="14.25">
      <c r="A15" s="201">
        <f t="shared" si="11"/>
        <v>4</v>
      </c>
      <c r="B15" s="201" t="s">
        <v>599</v>
      </c>
      <c r="C15" s="233">
        <f>285-70</f>
        <v>215</v>
      </c>
      <c r="D15" s="233">
        <f t="shared" si="0"/>
        <v>12.9</v>
      </c>
      <c r="E15" s="233">
        <f t="shared" si="1"/>
        <v>8.6</v>
      </c>
      <c r="F15" s="486">
        <f t="shared" si="2"/>
        <v>21.5</v>
      </c>
      <c r="G15" s="487">
        <f>125+30</f>
        <v>155</v>
      </c>
      <c r="H15" s="486">
        <f t="shared" si="3"/>
        <v>13.95</v>
      </c>
      <c r="I15" s="486">
        <f t="shared" si="12"/>
        <v>9.3</v>
      </c>
      <c r="J15" s="486">
        <f t="shared" si="4"/>
        <v>23.25</v>
      </c>
      <c r="K15" s="487">
        <f>41+20</f>
        <v>61</v>
      </c>
      <c r="L15" s="486">
        <f t="shared" si="5"/>
        <v>7.32</v>
      </c>
      <c r="M15" s="486">
        <f t="shared" si="13"/>
        <v>4.88</v>
      </c>
      <c r="N15" s="486">
        <f t="shared" si="6"/>
        <v>12.2</v>
      </c>
      <c r="O15" s="487">
        <f>24+20</f>
        <v>44</v>
      </c>
      <c r="P15" s="486">
        <f t="shared" si="7"/>
        <v>6.6</v>
      </c>
      <c r="Q15" s="486">
        <f t="shared" si="14"/>
        <v>4.4</v>
      </c>
      <c r="R15" s="486">
        <f t="shared" si="8"/>
        <v>11</v>
      </c>
      <c r="S15" s="233">
        <f t="shared" si="9"/>
        <v>475</v>
      </c>
      <c r="T15" s="486">
        <f t="shared" si="15"/>
        <v>40.77</v>
      </c>
      <c r="U15" s="486">
        <f t="shared" si="16"/>
        <v>27.18</v>
      </c>
      <c r="V15" s="486">
        <f t="shared" si="10"/>
        <v>67.95</v>
      </c>
    </row>
    <row r="16" spans="1:22" ht="14.25">
      <c r="A16" s="201">
        <f t="shared" si="11"/>
        <v>5</v>
      </c>
      <c r="B16" s="201" t="s">
        <v>600</v>
      </c>
      <c r="C16" s="233">
        <f>257-70</f>
        <v>187</v>
      </c>
      <c r="D16" s="233">
        <f t="shared" si="0"/>
        <v>11.22</v>
      </c>
      <c r="E16" s="233">
        <f t="shared" si="1"/>
        <v>7.48</v>
      </c>
      <c r="F16" s="486">
        <f t="shared" si="2"/>
        <v>18.700000000000003</v>
      </c>
      <c r="G16" s="487">
        <f>103+30</f>
        <v>133</v>
      </c>
      <c r="H16" s="486">
        <f t="shared" si="3"/>
        <v>11.97</v>
      </c>
      <c r="I16" s="486">
        <f t="shared" si="12"/>
        <v>7.98</v>
      </c>
      <c r="J16" s="486">
        <f t="shared" si="4"/>
        <v>19.950000000000003</v>
      </c>
      <c r="K16" s="487">
        <f>30+20</f>
        <v>50</v>
      </c>
      <c r="L16" s="486">
        <f t="shared" si="5"/>
        <v>6</v>
      </c>
      <c r="M16" s="486">
        <f t="shared" si="13"/>
        <v>4</v>
      </c>
      <c r="N16" s="486">
        <f t="shared" si="6"/>
        <v>10</v>
      </c>
      <c r="O16" s="487">
        <f>16+20</f>
        <v>36</v>
      </c>
      <c r="P16" s="486">
        <f t="shared" si="7"/>
        <v>5.4</v>
      </c>
      <c r="Q16" s="486">
        <f t="shared" si="14"/>
        <v>3.6</v>
      </c>
      <c r="R16" s="486">
        <f t="shared" si="8"/>
        <v>9</v>
      </c>
      <c r="S16" s="233">
        <f t="shared" si="9"/>
        <v>406</v>
      </c>
      <c r="T16" s="486">
        <f t="shared" si="15"/>
        <v>34.59</v>
      </c>
      <c r="U16" s="486">
        <f t="shared" si="16"/>
        <v>23.060000000000002</v>
      </c>
      <c r="V16" s="486">
        <f t="shared" si="10"/>
        <v>57.650000000000006</v>
      </c>
    </row>
    <row r="17" spans="1:22" ht="14.25">
      <c r="A17" s="201">
        <f t="shared" si="11"/>
        <v>6</v>
      </c>
      <c r="B17" s="201" t="s">
        <v>601</v>
      </c>
      <c r="C17" s="233">
        <f>179-40</f>
        <v>139</v>
      </c>
      <c r="D17" s="233">
        <f t="shared" si="0"/>
        <v>8.34</v>
      </c>
      <c r="E17" s="233">
        <f t="shared" si="1"/>
        <v>5.56</v>
      </c>
      <c r="F17" s="486">
        <f t="shared" si="2"/>
        <v>13.899999999999999</v>
      </c>
      <c r="G17" s="487">
        <f>45+10</f>
        <v>55</v>
      </c>
      <c r="H17" s="486">
        <f t="shared" si="3"/>
        <v>4.95</v>
      </c>
      <c r="I17" s="486">
        <f t="shared" si="12"/>
        <v>3.3</v>
      </c>
      <c r="J17" s="486">
        <f t="shared" si="4"/>
        <v>8.25</v>
      </c>
      <c r="K17" s="487">
        <f>20+20</f>
        <v>40</v>
      </c>
      <c r="L17" s="486">
        <f t="shared" si="5"/>
        <v>4.8</v>
      </c>
      <c r="M17" s="486">
        <f t="shared" si="13"/>
        <v>3.2</v>
      </c>
      <c r="N17" s="486">
        <f t="shared" si="6"/>
        <v>8</v>
      </c>
      <c r="O17" s="487">
        <f>6+10</f>
        <v>16</v>
      </c>
      <c r="P17" s="486">
        <f t="shared" si="7"/>
        <v>2.4</v>
      </c>
      <c r="Q17" s="486">
        <f t="shared" si="14"/>
        <v>1.6</v>
      </c>
      <c r="R17" s="486">
        <f t="shared" si="8"/>
        <v>4</v>
      </c>
      <c r="S17" s="233">
        <f t="shared" si="9"/>
        <v>250</v>
      </c>
      <c r="T17" s="486">
        <f t="shared" si="15"/>
        <v>20.49</v>
      </c>
      <c r="U17" s="486">
        <f t="shared" si="16"/>
        <v>13.659999999999998</v>
      </c>
      <c r="V17" s="486">
        <f t="shared" si="10"/>
        <v>34.15</v>
      </c>
    </row>
    <row r="18" spans="1:22" ht="14.25">
      <c r="A18" s="201">
        <f t="shared" si="11"/>
        <v>7</v>
      </c>
      <c r="B18" s="201" t="s">
        <v>602</v>
      </c>
      <c r="C18" s="233">
        <v>133</v>
      </c>
      <c r="D18" s="233">
        <f t="shared" si="0"/>
        <v>7.98</v>
      </c>
      <c r="E18" s="233">
        <f t="shared" si="1"/>
        <v>5.32</v>
      </c>
      <c r="F18" s="486">
        <f t="shared" si="2"/>
        <v>13.3</v>
      </c>
      <c r="G18" s="487">
        <v>117</v>
      </c>
      <c r="H18" s="486">
        <f t="shared" si="3"/>
        <v>10.53</v>
      </c>
      <c r="I18" s="486">
        <f t="shared" si="12"/>
        <v>7.02</v>
      </c>
      <c r="J18" s="486">
        <f t="shared" si="4"/>
        <v>17.549999999999997</v>
      </c>
      <c r="K18" s="487">
        <v>61</v>
      </c>
      <c r="L18" s="486">
        <f t="shared" si="5"/>
        <v>7.32</v>
      </c>
      <c r="M18" s="486">
        <f t="shared" si="13"/>
        <v>4.88</v>
      </c>
      <c r="N18" s="486">
        <f t="shared" si="6"/>
        <v>12.2</v>
      </c>
      <c r="O18" s="487">
        <v>45</v>
      </c>
      <c r="P18" s="486">
        <f t="shared" si="7"/>
        <v>6.75</v>
      </c>
      <c r="Q18" s="486">
        <f t="shared" si="14"/>
        <v>4.5</v>
      </c>
      <c r="R18" s="486">
        <f t="shared" si="8"/>
        <v>11.25</v>
      </c>
      <c r="S18" s="233">
        <f t="shared" si="9"/>
        <v>356</v>
      </c>
      <c r="T18" s="486">
        <f t="shared" si="15"/>
        <v>32.58</v>
      </c>
      <c r="U18" s="486">
        <f t="shared" si="16"/>
        <v>21.72</v>
      </c>
      <c r="V18" s="486">
        <f t="shared" si="10"/>
        <v>54.3</v>
      </c>
    </row>
    <row r="19" spans="1:22" ht="14.25">
      <c r="A19" s="201">
        <f t="shared" si="11"/>
        <v>8</v>
      </c>
      <c r="B19" s="201" t="s">
        <v>603</v>
      </c>
      <c r="C19" s="233">
        <v>450</v>
      </c>
      <c r="D19" s="233">
        <f t="shared" si="0"/>
        <v>27</v>
      </c>
      <c r="E19" s="233">
        <f t="shared" si="1"/>
        <v>18</v>
      </c>
      <c r="F19" s="486">
        <f t="shared" si="2"/>
        <v>45</v>
      </c>
      <c r="G19" s="487">
        <v>280</v>
      </c>
      <c r="H19" s="486">
        <f t="shared" si="3"/>
        <v>25.2</v>
      </c>
      <c r="I19" s="486">
        <f t="shared" si="12"/>
        <v>16.8</v>
      </c>
      <c r="J19" s="486">
        <f t="shared" si="4"/>
        <v>42</v>
      </c>
      <c r="K19" s="487">
        <v>105</v>
      </c>
      <c r="L19" s="486">
        <f t="shared" si="5"/>
        <v>12.6</v>
      </c>
      <c r="M19" s="486">
        <f t="shared" si="13"/>
        <v>8.4</v>
      </c>
      <c r="N19" s="486">
        <f t="shared" si="6"/>
        <v>21</v>
      </c>
      <c r="O19" s="487">
        <f>58+20</f>
        <v>78</v>
      </c>
      <c r="P19" s="486">
        <f t="shared" si="7"/>
        <v>11.7</v>
      </c>
      <c r="Q19" s="486">
        <f t="shared" si="14"/>
        <v>7.8</v>
      </c>
      <c r="R19" s="486">
        <f t="shared" si="8"/>
        <v>19.5</v>
      </c>
      <c r="S19" s="233">
        <f t="shared" si="9"/>
        <v>913</v>
      </c>
      <c r="T19" s="486">
        <f t="shared" si="15"/>
        <v>76.5</v>
      </c>
      <c r="U19" s="486">
        <f t="shared" si="16"/>
        <v>50.99999999999999</v>
      </c>
      <c r="V19" s="486">
        <f t="shared" si="10"/>
        <v>127.5</v>
      </c>
    </row>
    <row r="20" spans="1:22" ht="14.25">
      <c r="A20" s="201">
        <f t="shared" si="11"/>
        <v>9</v>
      </c>
      <c r="B20" s="201" t="s">
        <v>604</v>
      </c>
      <c r="C20" s="233">
        <f>379-90</f>
        <v>289</v>
      </c>
      <c r="D20" s="233">
        <f t="shared" si="0"/>
        <v>17.34</v>
      </c>
      <c r="E20" s="233">
        <f t="shared" si="1"/>
        <v>11.56</v>
      </c>
      <c r="F20" s="486">
        <f t="shared" si="2"/>
        <v>28.9</v>
      </c>
      <c r="G20" s="487">
        <f>123+40</f>
        <v>163</v>
      </c>
      <c r="H20" s="486">
        <f t="shared" si="3"/>
        <v>14.67</v>
      </c>
      <c r="I20" s="486">
        <f t="shared" si="12"/>
        <v>9.78</v>
      </c>
      <c r="J20" s="486">
        <f t="shared" si="4"/>
        <v>24.45</v>
      </c>
      <c r="K20" s="487">
        <f>49+40-10</f>
        <v>79</v>
      </c>
      <c r="L20" s="486">
        <f t="shared" si="5"/>
        <v>9.48</v>
      </c>
      <c r="M20" s="486">
        <f t="shared" si="13"/>
        <v>6.32</v>
      </c>
      <c r="N20" s="486">
        <f t="shared" si="6"/>
        <v>15.8</v>
      </c>
      <c r="O20" s="487">
        <f>24+10+10</f>
        <v>44</v>
      </c>
      <c r="P20" s="486">
        <f t="shared" si="7"/>
        <v>6.6</v>
      </c>
      <c r="Q20" s="486">
        <f t="shared" si="14"/>
        <v>4.4</v>
      </c>
      <c r="R20" s="486">
        <f t="shared" si="8"/>
        <v>11</v>
      </c>
      <c r="S20" s="233">
        <f t="shared" si="9"/>
        <v>575</v>
      </c>
      <c r="T20" s="486">
        <f t="shared" si="15"/>
        <v>48.089999999999996</v>
      </c>
      <c r="U20" s="486">
        <f t="shared" si="16"/>
        <v>32.06</v>
      </c>
      <c r="V20" s="486">
        <f t="shared" si="10"/>
        <v>80.15</v>
      </c>
    </row>
    <row r="21" spans="1:22" ht="14.25">
      <c r="A21" s="201">
        <f t="shared" si="11"/>
        <v>10</v>
      </c>
      <c r="B21" s="201" t="s">
        <v>605</v>
      </c>
      <c r="C21" s="233">
        <f>390-80</f>
        <v>310</v>
      </c>
      <c r="D21" s="233">
        <f t="shared" si="0"/>
        <v>18.6</v>
      </c>
      <c r="E21" s="233">
        <f t="shared" si="1"/>
        <v>12.4</v>
      </c>
      <c r="F21" s="486">
        <f t="shared" si="2"/>
        <v>31</v>
      </c>
      <c r="G21" s="487">
        <f>130+30</f>
        <v>160</v>
      </c>
      <c r="H21" s="486">
        <f t="shared" si="3"/>
        <v>14.4</v>
      </c>
      <c r="I21" s="486">
        <f t="shared" si="12"/>
        <v>9.6</v>
      </c>
      <c r="J21" s="486">
        <f t="shared" si="4"/>
        <v>24</v>
      </c>
      <c r="K21" s="487">
        <f>58+30</f>
        <v>88</v>
      </c>
      <c r="L21" s="486">
        <f t="shared" si="5"/>
        <v>10.56</v>
      </c>
      <c r="M21" s="486">
        <f t="shared" si="13"/>
        <v>7.04</v>
      </c>
      <c r="N21" s="486">
        <f t="shared" si="6"/>
        <v>17.6</v>
      </c>
      <c r="O21" s="487">
        <f>40+20</f>
        <v>60</v>
      </c>
      <c r="P21" s="486">
        <f t="shared" si="7"/>
        <v>9</v>
      </c>
      <c r="Q21" s="486">
        <f t="shared" si="14"/>
        <v>6</v>
      </c>
      <c r="R21" s="486">
        <f t="shared" si="8"/>
        <v>15</v>
      </c>
      <c r="S21" s="233">
        <f t="shared" si="9"/>
        <v>618</v>
      </c>
      <c r="T21" s="486">
        <f t="shared" si="15"/>
        <v>52.56</v>
      </c>
      <c r="U21" s="486">
        <f t="shared" si="16"/>
        <v>35.04</v>
      </c>
      <c r="V21" s="486">
        <f t="shared" si="10"/>
        <v>87.6</v>
      </c>
    </row>
    <row r="22" spans="1:22" ht="14.25">
      <c r="A22" s="201">
        <f t="shared" si="11"/>
        <v>11</v>
      </c>
      <c r="B22" s="201" t="s">
        <v>635</v>
      </c>
      <c r="C22" s="233">
        <f>426-80</f>
        <v>346</v>
      </c>
      <c r="D22" s="233">
        <f t="shared" si="0"/>
        <v>20.76</v>
      </c>
      <c r="E22" s="233">
        <f t="shared" si="1"/>
        <v>13.84</v>
      </c>
      <c r="F22" s="486">
        <f t="shared" si="2"/>
        <v>34.6</v>
      </c>
      <c r="G22" s="487">
        <f>135+40</f>
        <v>175</v>
      </c>
      <c r="H22" s="486">
        <f t="shared" si="3"/>
        <v>15.75</v>
      </c>
      <c r="I22" s="486">
        <f t="shared" si="12"/>
        <v>10.5</v>
      </c>
      <c r="J22" s="486">
        <f t="shared" si="4"/>
        <v>26.25</v>
      </c>
      <c r="K22" s="487">
        <f>45+20</f>
        <v>65</v>
      </c>
      <c r="L22" s="486">
        <f t="shared" si="5"/>
        <v>7.8</v>
      </c>
      <c r="M22" s="486">
        <f t="shared" si="13"/>
        <v>5.2</v>
      </c>
      <c r="N22" s="486">
        <f t="shared" si="6"/>
        <v>13</v>
      </c>
      <c r="O22" s="487">
        <f>33+20</f>
        <v>53</v>
      </c>
      <c r="P22" s="486">
        <f t="shared" si="7"/>
        <v>7.95</v>
      </c>
      <c r="Q22" s="486">
        <f t="shared" si="14"/>
        <v>5.3</v>
      </c>
      <c r="R22" s="486">
        <f t="shared" si="8"/>
        <v>13.25</v>
      </c>
      <c r="S22" s="233">
        <f t="shared" si="9"/>
        <v>639</v>
      </c>
      <c r="T22" s="486">
        <f t="shared" si="15"/>
        <v>52.260000000000005</v>
      </c>
      <c r="U22" s="486">
        <f t="shared" si="16"/>
        <v>34.839999999999996</v>
      </c>
      <c r="V22" s="486">
        <f t="shared" si="10"/>
        <v>87.1</v>
      </c>
    </row>
    <row r="23" spans="1:22" ht="14.25">
      <c r="A23" s="201">
        <f t="shared" si="11"/>
        <v>12</v>
      </c>
      <c r="B23" s="201" t="s">
        <v>606</v>
      </c>
      <c r="C23" s="233">
        <f>521-100</f>
        <v>421</v>
      </c>
      <c r="D23" s="233">
        <f t="shared" si="0"/>
        <v>25.26</v>
      </c>
      <c r="E23" s="233">
        <f t="shared" si="1"/>
        <v>16.84</v>
      </c>
      <c r="F23" s="486">
        <f t="shared" si="2"/>
        <v>42.1</v>
      </c>
      <c r="G23" s="487">
        <f>166+50</f>
        <v>216</v>
      </c>
      <c r="H23" s="486">
        <f t="shared" si="3"/>
        <v>19.44</v>
      </c>
      <c r="I23" s="486">
        <f t="shared" si="12"/>
        <v>12.96</v>
      </c>
      <c r="J23" s="486">
        <f t="shared" si="4"/>
        <v>32.400000000000006</v>
      </c>
      <c r="K23" s="487">
        <f>58+30</f>
        <v>88</v>
      </c>
      <c r="L23" s="486">
        <f t="shared" si="5"/>
        <v>10.56</v>
      </c>
      <c r="M23" s="486">
        <f t="shared" si="13"/>
        <v>7.04</v>
      </c>
      <c r="N23" s="486">
        <f t="shared" si="6"/>
        <v>17.6</v>
      </c>
      <c r="O23" s="487">
        <f>28+20</f>
        <v>48</v>
      </c>
      <c r="P23" s="486">
        <f t="shared" si="7"/>
        <v>7.2</v>
      </c>
      <c r="Q23" s="486">
        <f t="shared" si="14"/>
        <v>4.8</v>
      </c>
      <c r="R23" s="486">
        <f t="shared" si="8"/>
        <v>12</v>
      </c>
      <c r="S23" s="233">
        <f t="shared" si="9"/>
        <v>773</v>
      </c>
      <c r="T23" s="486">
        <f t="shared" si="15"/>
        <v>62.46000000000001</v>
      </c>
      <c r="U23" s="486">
        <f t="shared" si="16"/>
        <v>41.64</v>
      </c>
      <c r="V23" s="486">
        <f t="shared" si="10"/>
        <v>104.10000000000001</v>
      </c>
    </row>
    <row r="24" spans="1:22" ht="14.25">
      <c r="A24" s="201">
        <f t="shared" si="11"/>
        <v>13</v>
      </c>
      <c r="B24" s="201" t="s">
        <v>607</v>
      </c>
      <c r="C24" s="233">
        <v>225</v>
      </c>
      <c r="D24" s="233">
        <f t="shared" si="0"/>
        <v>13.5</v>
      </c>
      <c r="E24" s="233">
        <f t="shared" si="1"/>
        <v>9</v>
      </c>
      <c r="F24" s="486">
        <f t="shared" si="2"/>
        <v>22.5</v>
      </c>
      <c r="G24" s="487">
        <v>150</v>
      </c>
      <c r="H24" s="486">
        <f t="shared" si="3"/>
        <v>13.5</v>
      </c>
      <c r="I24" s="486">
        <f t="shared" si="12"/>
        <v>9</v>
      </c>
      <c r="J24" s="486">
        <f t="shared" si="4"/>
        <v>22.5</v>
      </c>
      <c r="K24" s="487">
        <v>77</v>
      </c>
      <c r="L24" s="486">
        <f t="shared" si="5"/>
        <v>9.24</v>
      </c>
      <c r="M24" s="486">
        <f t="shared" si="13"/>
        <v>6.16</v>
      </c>
      <c r="N24" s="486">
        <f t="shared" si="6"/>
        <v>15.4</v>
      </c>
      <c r="O24" s="487">
        <v>98</v>
      </c>
      <c r="P24" s="486">
        <f t="shared" si="7"/>
        <v>14.7</v>
      </c>
      <c r="Q24" s="486">
        <f t="shared" si="14"/>
        <v>9.8</v>
      </c>
      <c r="R24" s="486">
        <f t="shared" si="8"/>
        <v>24.5</v>
      </c>
      <c r="S24" s="233">
        <f t="shared" si="9"/>
        <v>550</v>
      </c>
      <c r="T24" s="486">
        <f t="shared" si="15"/>
        <v>50.94</v>
      </c>
      <c r="U24" s="486">
        <f t="shared" si="16"/>
        <v>33.96</v>
      </c>
      <c r="V24" s="486">
        <f t="shared" si="10"/>
        <v>84.9</v>
      </c>
    </row>
    <row r="25" spans="1:22" ht="14.25">
      <c r="A25" s="201">
        <f t="shared" si="11"/>
        <v>14</v>
      </c>
      <c r="B25" s="201" t="s">
        <v>636</v>
      </c>
      <c r="C25" s="233">
        <f>323-50</f>
        <v>273</v>
      </c>
      <c r="D25" s="233">
        <f t="shared" si="0"/>
        <v>16.38</v>
      </c>
      <c r="E25" s="233">
        <f t="shared" si="1"/>
        <v>10.92</v>
      </c>
      <c r="F25" s="486">
        <f t="shared" si="2"/>
        <v>27.299999999999997</v>
      </c>
      <c r="G25" s="487">
        <f>95+20</f>
        <v>115</v>
      </c>
      <c r="H25" s="486">
        <f t="shared" si="3"/>
        <v>10.35</v>
      </c>
      <c r="I25" s="486">
        <f t="shared" si="12"/>
        <v>6.9</v>
      </c>
      <c r="J25" s="486">
        <f t="shared" si="4"/>
        <v>17.25</v>
      </c>
      <c r="K25" s="487">
        <f>21+20</f>
        <v>41</v>
      </c>
      <c r="L25" s="486">
        <f t="shared" si="5"/>
        <v>4.92</v>
      </c>
      <c r="M25" s="486">
        <f t="shared" si="13"/>
        <v>3.28</v>
      </c>
      <c r="N25" s="486">
        <f t="shared" si="6"/>
        <v>8.2</v>
      </c>
      <c r="O25" s="487">
        <f>25+10</f>
        <v>35</v>
      </c>
      <c r="P25" s="486">
        <f t="shared" si="7"/>
        <v>5.25</v>
      </c>
      <c r="Q25" s="486">
        <f t="shared" si="14"/>
        <v>3.5</v>
      </c>
      <c r="R25" s="486">
        <f t="shared" si="8"/>
        <v>8.75</v>
      </c>
      <c r="S25" s="233">
        <f t="shared" si="9"/>
        <v>464</v>
      </c>
      <c r="T25" s="486">
        <f t="shared" si="15"/>
        <v>36.9</v>
      </c>
      <c r="U25" s="486">
        <f t="shared" si="16"/>
        <v>24.6</v>
      </c>
      <c r="V25" s="486">
        <f t="shared" si="10"/>
        <v>61.5</v>
      </c>
    </row>
    <row r="26" spans="1:48" s="233" customFormat="1" ht="14.25">
      <c r="A26" s="201">
        <f t="shared" si="11"/>
        <v>15</v>
      </c>
      <c r="B26" s="201" t="s">
        <v>608</v>
      </c>
      <c r="C26" s="233">
        <f>250-30</f>
        <v>220</v>
      </c>
      <c r="D26" s="233">
        <f t="shared" si="0"/>
        <v>13.2</v>
      </c>
      <c r="E26" s="233">
        <f t="shared" si="1"/>
        <v>8.8</v>
      </c>
      <c r="F26" s="486">
        <f t="shared" si="2"/>
        <v>22</v>
      </c>
      <c r="G26" s="487">
        <v>173</v>
      </c>
      <c r="H26" s="486">
        <f t="shared" si="3"/>
        <v>15.57</v>
      </c>
      <c r="I26" s="486">
        <f t="shared" si="12"/>
        <v>10.38</v>
      </c>
      <c r="J26" s="486">
        <f t="shared" si="4"/>
        <v>25.950000000000003</v>
      </c>
      <c r="K26" s="487">
        <f>60+10</f>
        <v>70</v>
      </c>
      <c r="L26" s="486">
        <f t="shared" si="5"/>
        <v>8.4</v>
      </c>
      <c r="M26" s="486">
        <f t="shared" si="13"/>
        <v>5.6</v>
      </c>
      <c r="N26" s="486">
        <f t="shared" si="6"/>
        <v>14</v>
      </c>
      <c r="O26" s="487">
        <f>37+20</f>
        <v>57</v>
      </c>
      <c r="P26" s="486">
        <f t="shared" si="7"/>
        <v>8.55</v>
      </c>
      <c r="Q26" s="486">
        <f t="shared" si="14"/>
        <v>5.7</v>
      </c>
      <c r="R26" s="486">
        <f t="shared" si="8"/>
        <v>14.25</v>
      </c>
      <c r="S26" s="233">
        <f t="shared" si="9"/>
        <v>520</v>
      </c>
      <c r="T26" s="486">
        <f t="shared" si="15"/>
        <v>45.72</v>
      </c>
      <c r="U26" s="486">
        <f t="shared" si="16"/>
        <v>30.48</v>
      </c>
      <c r="V26" s="486">
        <f t="shared" si="10"/>
        <v>76.2</v>
      </c>
      <c r="W26" s="234"/>
      <c r="X26" s="226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</row>
    <row r="27" spans="1:22" ht="14.25">
      <c r="A27" s="201">
        <f t="shared" si="11"/>
        <v>16</v>
      </c>
      <c r="B27" s="201" t="s">
        <v>609</v>
      </c>
      <c r="C27" s="233">
        <f>100-10</f>
        <v>90</v>
      </c>
      <c r="D27" s="233">
        <f t="shared" si="0"/>
        <v>5.4</v>
      </c>
      <c r="E27" s="233">
        <f t="shared" si="1"/>
        <v>3.6</v>
      </c>
      <c r="F27" s="486">
        <f t="shared" si="2"/>
        <v>9</v>
      </c>
      <c r="G27" s="487">
        <v>80</v>
      </c>
      <c r="H27" s="486">
        <f t="shared" si="3"/>
        <v>7.2</v>
      </c>
      <c r="I27" s="486">
        <f t="shared" si="12"/>
        <v>4.8</v>
      </c>
      <c r="J27" s="486">
        <f t="shared" si="4"/>
        <v>12</v>
      </c>
      <c r="K27" s="487">
        <v>56</v>
      </c>
      <c r="L27" s="486">
        <f t="shared" si="5"/>
        <v>6.72</v>
      </c>
      <c r="M27" s="486">
        <f t="shared" si="13"/>
        <v>4.48</v>
      </c>
      <c r="N27" s="486">
        <f t="shared" si="6"/>
        <v>11.2</v>
      </c>
      <c r="O27" s="487">
        <v>58</v>
      </c>
      <c r="P27" s="486">
        <f t="shared" si="7"/>
        <v>8.7</v>
      </c>
      <c r="Q27" s="486">
        <f t="shared" si="14"/>
        <v>5.8</v>
      </c>
      <c r="R27" s="486">
        <f t="shared" si="8"/>
        <v>14.5</v>
      </c>
      <c r="S27" s="233">
        <f t="shared" si="9"/>
        <v>284</v>
      </c>
      <c r="T27" s="486">
        <f t="shared" si="15"/>
        <v>28.02</v>
      </c>
      <c r="U27" s="486">
        <f t="shared" si="16"/>
        <v>18.68</v>
      </c>
      <c r="V27" s="486">
        <f t="shared" si="10"/>
        <v>46.7</v>
      </c>
    </row>
    <row r="28" spans="1:22" ht="14.25">
      <c r="A28" s="201">
        <f t="shared" si="11"/>
        <v>17</v>
      </c>
      <c r="B28" s="269" t="s">
        <v>757</v>
      </c>
      <c r="C28" s="226">
        <v>170</v>
      </c>
      <c r="D28" s="233">
        <f t="shared" si="0"/>
        <v>10.2</v>
      </c>
      <c r="E28" s="233">
        <f t="shared" si="1"/>
        <v>6.8</v>
      </c>
      <c r="F28" s="486">
        <f t="shared" si="2"/>
        <v>17</v>
      </c>
      <c r="G28" s="226">
        <v>50</v>
      </c>
      <c r="H28" s="486">
        <f t="shared" si="3"/>
        <v>4.5</v>
      </c>
      <c r="I28" s="486">
        <f t="shared" si="12"/>
        <v>3</v>
      </c>
      <c r="J28" s="486">
        <f t="shared" si="4"/>
        <v>7.5</v>
      </c>
      <c r="K28" s="226">
        <v>20</v>
      </c>
      <c r="L28" s="486">
        <f t="shared" si="5"/>
        <v>2.4</v>
      </c>
      <c r="M28" s="486">
        <f t="shared" si="13"/>
        <v>1.6</v>
      </c>
      <c r="N28" s="486">
        <f t="shared" si="6"/>
        <v>4</v>
      </c>
      <c r="O28" s="226">
        <v>19</v>
      </c>
      <c r="P28" s="486">
        <f t="shared" si="7"/>
        <v>2.85</v>
      </c>
      <c r="Q28" s="486">
        <f t="shared" si="14"/>
        <v>1.9</v>
      </c>
      <c r="R28" s="486">
        <f t="shared" si="8"/>
        <v>4.75</v>
      </c>
      <c r="S28" s="233">
        <f t="shared" si="9"/>
        <v>259</v>
      </c>
      <c r="T28" s="486">
        <f t="shared" si="15"/>
        <v>19.95</v>
      </c>
      <c r="U28" s="486">
        <f t="shared" si="16"/>
        <v>13.3</v>
      </c>
      <c r="V28" s="486">
        <f t="shared" si="10"/>
        <v>33.25</v>
      </c>
    </row>
    <row r="29" spans="1:22" ht="14.25">
      <c r="A29" s="201">
        <f t="shared" si="11"/>
        <v>18</v>
      </c>
      <c r="B29" s="201" t="s">
        <v>610</v>
      </c>
      <c r="C29" s="233">
        <f>277-70</f>
        <v>207</v>
      </c>
      <c r="D29" s="233">
        <f t="shared" si="0"/>
        <v>12.42</v>
      </c>
      <c r="E29" s="233">
        <f t="shared" si="1"/>
        <v>8.28</v>
      </c>
      <c r="F29" s="486">
        <f t="shared" si="2"/>
        <v>20.7</v>
      </c>
      <c r="G29" s="487">
        <f>135+20</f>
        <v>155</v>
      </c>
      <c r="H29" s="486">
        <f t="shared" si="3"/>
        <v>13.95</v>
      </c>
      <c r="I29" s="486">
        <f t="shared" si="12"/>
        <v>9.3</v>
      </c>
      <c r="J29" s="486">
        <f t="shared" si="4"/>
        <v>23.25</v>
      </c>
      <c r="K29" s="487">
        <f>57+20</f>
        <v>77</v>
      </c>
      <c r="L29" s="486">
        <f t="shared" si="5"/>
        <v>9.24</v>
      </c>
      <c r="M29" s="486">
        <f t="shared" si="13"/>
        <v>6.16</v>
      </c>
      <c r="N29" s="486">
        <f t="shared" si="6"/>
        <v>15.4</v>
      </c>
      <c r="O29" s="487">
        <f>29+30</f>
        <v>59</v>
      </c>
      <c r="P29" s="486">
        <f t="shared" si="7"/>
        <v>8.85</v>
      </c>
      <c r="Q29" s="486">
        <f t="shared" si="14"/>
        <v>5.9</v>
      </c>
      <c r="R29" s="486">
        <f t="shared" si="8"/>
        <v>14.75</v>
      </c>
      <c r="S29" s="233">
        <f t="shared" si="9"/>
        <v>498</v>
      </c>
      <c r="T29" s="486">
        <f t="shared" si="15"/>
        <v>44.46</v>
      </c>
      <c r="U29" s="486">
        <f t="shared" si="16"/>
        <v>29.64</v>
      </c>
      <c r="V29" s="486">
        <f t="shared" si="10"/>
        <v>74.1</v>
      </c>
    </row>
    <row r="30" spans="1:24" s="6" customFormat="1" ht="14.25">
      <c r="A30" s="201">
        <f t="shared" si="11"/>
        <v>19</v>
      </c>
      <c r="B30" s="201" t="s">
        <v>611</v>
      </c>
      <c r="C30" s="233">
        <v>490</v>
      </c>
      <c r="D30" s="233">
        <f t="shared" si="0"/>
        <v>29.4</v>
      </c>
      <c r="E30" s="233">
        <f t="shared" si="1"/>
        <v>19.6</v>
      </c>
      <c r="F30" s="486">
        <f t="shared" si="2"/>
        <v>49</v>
      </c>
      <c r="G30" s="487">
        <v>280</v>
      </c>
      <c r="H30" s="486">
        <f t="shared" si="3"/>
        <v>25.2</v>
      </c>
      <c r="I30" s="486">
        <f t="shared" si="12"/>
        <v>16.8</v>
      </c>
      <c r="J30" s="486">
        <f t="shared" si="4"/>
        <v>42</v>
      </c>
      <c r="K30" s="487">
        <f>56+40</f>
        <v>96</v>
      </c>
      <c r="L30" s="486">
        <f t="shared" si="5"/>
        <v>11.52</v>
      </c>
      <c r="M30" s="486">
        <f t="shared" si="13"/>
        <v>7.68</v>
      </c>
      <c r="N30" s="486">
        <f t="shared" si="6"/>
        <v>19.2</v>
      </c>
      <c r="O30" s="487">
        <f>40+60</f>
        <v>100</v>
      </c>
      <c r="P30" s="486">
        <f t="shared" si="7"/>
        <v>15</v>
      </c>
      <c r="Q30" s="486">
        <f t="shared" si="14"/>
        <v>10</v>
      </c>
      <c r="R30" s="486">
        <f t="shared" si="8"/>
        <v>25</v>
      </c>
      <c r="S30" s="233">
        <f t="shared" si="9"/>
        <v>966</v>
      </c>
      <c r="T30" s="486">
        <f t="shared" si="15"/>
        <v>81.11999999999999</v>
      </c>
      <c r="U30" s="486">
        <f t="shared" si="16"/>
        <v>54.080000000000005</v>
      </c>
      <c r="V30" s="486">
        <f t="shared" si="10"/>
        <v>135.2</v>
      </c>
      <c r="W30" s="226"/>
      <c r="X30" s="226"/>
    </row>
    <row r="31" spans="1:24" s="6" customFormat="1" ht="14.25">
      <c r="A31" s="201">
        <f t="shared" si="11"/>
        <v>20</v>
      </c>
      <c r="B31" s="269" t="s">
        <v>758</v>
      </c>
      <c r="C31" s="520">
        <v>170</v>
      </c>
      <c r="D31" s="233">
        <f>C31*10000*60%/100000</f>
        <v>10.2</v>
      </c>
      <c r="E31" s="233">
        <f>C31*10000*40%/100000</f>
        <v>6.8</v>
      </c>
      <c r="F31" s="486">
        <f t="shared" si="2"/>
        <v>17</v>
      </c>
      <c r="G31" s="521">
        <v>50</v>
      </c>
      <c r="H31" s="486">
        <f t="shared" si="3"/>
        <v>4.5</v>
      </c>
      <c r="I31" s="486">
        <f t="shared" si="12"/>
        <v>3</v>
      </c>
      <c r="J31" s="486">
        <f t="shared" si="4"/>
        <v>7.5</v>
      </c>
      <c r="K31" s="521">
        <v>40</v>
      </c>
      <c r="L31" s="486">
        <f t="shared" si="5"/>
        <v>4.8</v>
      </c>
      <c r="M31" s="486">
        <f t="shared" si="13"/>
        <v>3.2</v>
      </c>
      <c r="N31" s="486">
        <f t="shared" si="6"/>
        <v>8</v>
      </c>
      <c r="O31" s="521">
        <v>9</v>
      </c>
      <c r="P31" s="486">
        <f t="shared" si="7"/>
        <v>1.35</v>
      </c>
      <c r="Q31" s="486">
        <f t="shared" si="14"/>
        <v>0.9</v>
      </c>
      <c r="R31" s="486">
        <f t="shared" si="8"/>
        <v>2.25</v>
      </c>
      <c r="S31" s="233">
        <f t="shared" si="9"/>
        <v>269</v>
      </c>
      <c r="T31" s="486">
        <f t="shared" si="15"/>
        <v>20.85</v>
      </c>
      <c r="U31" s="486">
        <f t="shared" si="16"/>
        <v>13.9</v>
      </c>
      <c r="V31" s="486">
        <f t="shared" si="10"/>
        <v>34.75</v>
      </c>
      <c r="W31" s="519"/>
      <c r="X31" s="226"/>
    </row>
    <row r="32" spans="1:24" s="6" customFormat="1" ht="14.25">
      <c r="A32" s="201">
        <f t="shared" si="11"/>
        <v>21</v>
      </c>
      <c r="B32" s="201" t="s">
        <v>637</v>
      </c>
      <c r="C32" s="522">
        <v>285</v>
      </c>
      <c r="D32" s="233">
        <f t="shared" si="0"/>
        <v>17.1</v>
      </c>
      <c r="E32" s="233">
        <f t="shared" si="1"/>
        <v>11.4</v>
      </c>
      <c r="F32" s="486">
        <f t="shared" si="2"/>
        <v>28.5</v>
      </c>
      <c r="G32" s="487">
        <v>128</v>
      </c>
      <c r="H32" s="486">
        <f t="shared" si="3"/>
        <v>11.52</v>
      </c>
      <c r="I32" s="486">
        <f t="shared" si="12"/>
        <v>7.68</v>
      </c>
      <c r="J32" s="486">
        <f t="shared" si="4"/>
        <v>19.2</v>
      </c>
      <c r="K32" s="487">
        <v>41</v>
      </c>
      <c r="L32" s="486">
        <f t="shared" si="5"/>
        <v>4.92</v>
      </c>
      <c r="M32" s="486">
        <f t="shared" si="13"/>
        <v>3.28</v>
      </c>
      <c r="N32" s="486">
        <f t="shared" si="6"/>
        <v>8.2</v>
      </c>
      <c r="O32" s="487">
        <v>22</v>
      </c>
      <c r="P32" s="486">
        <f t="shared" si="7"/>
        <v>3.3</v>
      </c>
      <c r="Q32" s="486">
        <f t="shared" si="14"/>
        <v>2.2</v>
      </c>
      <c r="R32" s="486">
        <f t="shared" si="8"/>
        <v>5.5</v>
      </c>
      <c r="S32" s="233">
        <f t="shared" si="9"/>
        <v>476</v>
      </c>
      <c r="T32" s="486">
        <f t="shared" si="15"/>
        <v>36.839999999999996</v>
      </c>
      <c r="U32" s="486">
        <f t="shared" si="16"/>
        <v>24.56</v>
      </c>
      <c r="V32" s="486">
        <f t="shared" si="10"/>
        <v>61.39999999999999</v>
      </c>
      <c r="W32" s="519"/>
      <c r="X32" s="226"/>
    </row>
    <row r="33" spans="1:24" s="6" customFormat="1" ht="14.25">
      <c r="A33" s="201">
        <f t="shared" si="11"/>
        <v>22</v>
      </c>
      <c r="B33" s="201" t="s">
        <v>612</v>
      </c>
      <c r="C33" s="522">
        <v>572</v>
      </c>
      <c r="D33" s="233">
        <f t="shared" si="0"/>
        <v>34.32</v>
      </c>
      <c r="E33" s="233">
        <f t="shared" si="1"/>
        <v>22.88</v>
      </c>
      <c r="F33" s="486">
        <f t="shared" si="2"/>
        <v>57.2</v>
      </c>
      <c r="G33" s="523">
        <v>280</v>
      </c>
      <c r="H33" s="486">
        <f t="shared" si="3"/>
        <v>25.2</v>
      </c>
      <c r="I33" s="486">
        <f t="shared" si="12"/>
        <v>16.8</v>
      </c>
      <c r="J33" s="486">
        <f t="shared" si="4"/>
        <v>42</v>
      </c>
      <c r="K33" s="523">
        <v>133</v>
      </c>
      <c r="L33" s="486">
        <f t="shared" si="5"/>
        <v>15.96</v>
      </c>
      <c r="M33" s="486">
        <f t="shared" si="13"/>
        <v>10.64</v>
      </c>
      <c r="N33" s="486">
        <f t="shared" si="6"/>
        <v>26.6</v>
      </c>
      <c r="O33" s="523">
        <v>69</v>
      </c>
      <c r="P33" s="486">
        <f t="shared" si="7"/>
        <v>10.35</v>
      </c>
      <c r="Q33" s="486">
        <f t="shared" si="14"/>
        <v>6.9</v>
      </c>
      <c r="R33" s="486">
        <f t="shared" si="8"/>
        <v>17.25</v>
      </c>
      <c r="S33" s="233">
        <f t="shared" si="9"/>
        <v>1054</v>
      </c>
      <c r="T33" s="486">
        <f t="shared" si="15"/>
        <v>85.82999999999998</v>
      </c>
      <c r="U33" s="486">
        <f t="shared" si="16"/>
        <v>57.22</v>
      </c>
      <c r="V33" s="486">
        <f t="shared" si="10"/>
        <v>143.04999999999998</v>
      </c>
      <c r="X33" s="226"/>
    </row>
    <row r="34" spans="1:23" ht="14.25">
      <c r="A34" s="201">
        <f t="shared" si="11"/>
        <v>23</v>
      </c>
      <c r="B34" s="201" t="s">
        <v>613</v>
      </c>
      <c r="C34" s="522">
        <v>340</v>
      </c>
      <c r="D34" s="233">
        <f t="shared" si="0"/>
        <v>20.4</v>
      </c>
      <c r="E34" s="233">
        <f t="shared" si="1"/>
        <v>13.6</v>
      </c>
      <c r="F34" s="486">
        <f t="shared" si="2"/>
        <v>34</v>
      </c>
      <c r="G34" s="523">
        <v>58</v>
      </c>
      <c r="H34" s="486">
        <f t="shared" si="3"/>
        <v>5.22</v>
      </c>
      <c r="I34" s="486">
        <f t="shared" si="12"/>
        <v>3.48</v>
      </c>
      <c r="J34" s="486">
        <f t="shared" si="4"/>
        <v>8.7</v>
      </c>
      <c r="K34" s="524">
        <v>17</v>
      </c>
      <c r="L34" s="486">
        <f t="shared" si="5"/>
        <v>2.04</v>
      </c>
      <c r="M34" s="486">
        <f t="shared" si="13"/>
        <v>1.36</v>
      </c>
      <c r="N34" s="486">
        <f t="shared" si="6"/>
        <v>3.4000000000000004</v>
      </c>
      <c r="O34" s="524">
        <v>10</v>
      </c>
      <c r="P34" s="486">
        <f t="shared" si="7"/>
        <v>1.5</v>
      </c>
      <c r="Q34" s="486">
        <f t="shared" si="14"/>
        <v>1</v>
      </c>
      <c r="R34" s="486">
        <f t="shared" si="8"/>
        <v>2.5</v>
      </c>
      <c r="S34" s="233">
        <f t="shared" si="9"/>
        <v>425</v>
      </c>
      <c r="T34" s="486">
        <f t="shared" si="15"/>
        <v>29.159999999999997</v>
      </c>
      <c r="U34" s="486">
        <f t="shared" si="16"/>
        <v>19.439999999999998</v>
      </c>
      <c r="V34" s="486">
        <f t="shared" si="10"/>
        <v>48.599999999999994</v>
      </c>
      <c r="W34" s="519"/>
    </row>
    <row r="35" spans="1:23" ht="14.25">
      <c r="A35" s="201">
        <f t="shared" si="11"/>
        <v>24</v>
      </c>
      <c r="B35" s="201" t="s">
        <v>614</v>
      </c>
      <c r="C35" s="522">
        <v>183</v>
      </c>
      <c r="D35" s="233">
        <f t="shared" si="0"/>
        <v>10.98</v>
      </c>
      <c r="E35" s="233">
        <f t="shared" si="1"/>
        <v>7.32</v>
      </c>
      <c r="F35" s="486">
        <f t="shared" si="2"/>
        <v>18.3</v>
      </c>
      <c r="G35" s="523">
        <v>83</v>
      </c>
      <c r="H35" s="486">
        <f t="shared" si="3"/>
        <v>7.47</v>
      </c>
      <c r="I35" s="486">
        <f t="shared" si="12"/>
        <v>4.98</v>
      </c>
      <c r="J35" s="486">
        <f t="shared" si="4"/>
        <v>12.45</v>
      </c>
      <c r="K35" s="524">
        <v>22</v>
      </c>
      <c r="L35" s="486">
        <f t="shared" si="5"/>
        <v>2.64</v>
      </c>
      <c r="M35" s="486">
        <f t="shared" si="13"/>
        <v>1.76</v>
      </c>
      <c r="N35" s="486">
        <f t="shared" si="6"/>
        <v>4.4</v>
      </c>
      <c r="O35" s="524">
        <v>5</v>
      </c>
      <c r="P35" s="486">
        <f t="shared" si="7"/>
        <v>0.75</v>
      </c>
      <c r="Q35" s="486">
        <f t="shared" si="14"/>
        <v>0.5</v>
      </c>
      <c r="R35" s="486">
        <f t="shared" si="8"/>
        <v>1.25</v>
      </c>
      <c r="S35" s="233">
        <f t="shared" si="9"/>
        <v>293</v>
      </c>
      <c r="T35" s="486">
        <f t="shared" si="15"/>
        <v>21.84</v>
      </c>
      <c r="U35" s="486">
        <f t="shared" si="16"/>
        <v>14.56</v>
      </c>
      <c r="V35" s="486">
        <f t="shared" si="10"/>
        <v>36.4</v>
      </c>
      <c r="W35" s="519"/>
    </row>
    <row r="36" spans="1:22" ht="14.25">
      <c r="A36" s="201">
        <f t="shared" si="11"/>
        <v>25</v>
      </c>
      <c r="B36" s="201" t="s">
        <v>615</v>
      </c>
      <c r="C36" s="233">
        <v>335</v>
      </c>
      <c r="D36" s="233">
        <f t="shared" si="0"/>
        <v>20.1</v>
      </c>
      <c r="E36" s="233">
        <f t="shared" si="1"/>
        <v>13.4</v>
      </c>
      <c r="F36" s="486">
        <f t="shared" si="2"/>
        <v>33.5</v>
      </c>
      <c r="G36" s="523">
        <v>208</v>
      </c>
      <c r="H36" s="486">
        <f t="shared" si="3"/>
        <v>18.72</v>
      </c>
      <c r="I36" s="486">
        <f t="shared" si="12"/>
        <v>12.48</v>
      </c>
      <c r="J36" s="486">
        <f t="shared" si="4"/>
        <v>31.2</v>
      </c>
      <c r="K36" s="523">
        <v>89</v>
      </c>
      <c r="L36" s="486">
        <f t="shared" si="5"/>
        <v>10.68</v>
      </c>
      <c r="M36" s="486">
        <f t="shared" si="13"/>
        <v>7.12</v>
      </c>
      <c r="N36" s="486">
        <f t="shared" si="6"/>
        <v>17.8</v>
      </c>
      <c r="O36" s="523">
        <v>83</v>
      </c>
      <c r="P36" s="486">
        <f t="shared" si="7"/>
        <v>12.45</v>
      </c>
      <c r="Q36" s="486">
        <f t="shared" si="14"/>
        <v>8.3</v>
      </c>
      <c r="R36" s="486">
        <f t="shared" si="8"/>
        <v>20.75</v>
      </c>
      <c r="S36" s="233">
        <f t="shared" si="9"/>
        <v>715</v>
      </c>
      <c r="T36" s="486">
        <f t="shared" si="15"/>
        <v>61.95</v>
      </c>
      <c r="U36" s="486">
        <f t="shared" si="16"/>
        <v>41.3</v>
      </c>
      <c r="V36" s="486">
        <f t="shared" si="10"/>
        <v>103.25</v>
      </c>
    </row>
    <row r="37" spans="1:22" ht="14.25">
      <c r="A37" s="201">
        <f t="shared" si="11"/>
        <v>26</v>
      </c>
      <c r="B37" s="201" t="s">
        <v>616</v>
      </c>
      <c r="C37" s="233">
        <v>423</v>
      </c>
      <c r="D37" s="233">
        <f t="shared" si="0"/>
        <v>25.38</v>
      </c>
      <c r="E37" s="233">
        <f t="shared" si="1"/>
        <v>16.92</v>
      </c>
      <c r="F37" s="486">
        <f t="shared" si="2"/>
        <v>42.3</v>
      </c>
      <c r="G37" s="487">
        <v>175</v>
      </c>
      <c r="H37" s="486">
        <f t="shared" si="3"/>
        <v>15.75</v>
      </c>
      <c r="I37" s="486">
        <f t="shared" si="12"/>
        <v>10.5</v>
      </c>
      <c r="J37" s="486">
        <f t="shared" si="4"/>
        <v>26.25</v>
      </c>
      <c r="K37" s="487">
        <v>48</v>
      </c>
      <c r="L37" s="486">
        <f t="shared" si="5"/>
        <v>5.76</v>
      </c>
      <c r="M37" s="486">
        <f t="shared" si="13"/>
        <v>3.84</v>
      </c>
      <c r="N37" s="486">
        <f t="shared" si="6"/>
        <v>9.6</v>
      </c>
      <c r="O37" s="487">
        <v>31</v>
      </c>
      <c r="P37" s="486">
        <f t="shared" si="7"/>
        <v>4.65</v>
      </c>
      <c r="Q37" s="486">
        <f t="shared" si="14"/>
        <v>3.1</v>
      </c>
      <c r="R37" s="486">
        <f t="shared" si="8"/>
        <v>7.75</v>
      </c>
      <c r="S37" s="233">
        <f t="shared" si="9"/>
        <v>677</v>
      </c>
      <c r="T37" s="486">
        <f t="shared" si="15"/>
        <v>51.53999999999999</v>
      </c>
      <c r="U37" s="486">
        <f t="shared" si="16"/>
        <v>34.36</v>
      </c>
      <c r="V37" s="486">
        <f t="shared" si="10"/>
        <v>85.89999999999999</v>
      </c>
    </row>
    <row r="38" spans="1:22" ht="14.25">
      <c r="A38" s="201">
        <f t="shared" si="11"/>
        <v>27</v>
      </c>
      <c r="B38" s="201" t="s">
        <v>617</v>
      </c>
      <c r="C38" s="233">
        <v>310</v>
      </c>
      <c r="D38" s="233">
        <f t="shared" si="0"/>
        <v>18.6</v>
      </c>
      <c r="E38" s="233">
        <f t="shared" si="1"/>
        <v>12.4</v>
      </c>
      <c r="F38" s="486">
        <f t="shared" si="2"/>
        <v>31</v>
      </c>
      <c r="G38" s="487">
        <v>121</v>
      </c>
      <c r="H38" s="486">
        <f t="shared" si="3"/>
        <v>10.89</v>
      </c>
      <c r="I38" s="486">
        <f t="shared" si="12"/>
        <v>7.26</v>
      </c>
      <c r="J38" s="486">
        <f t="shared" si="4"/>
        <v>18.15</v>
      </c>
      <c r="K38" s="487">
        <v>43</v>
      </c>
      <c r="L38" s="486">
        <f t="shared" si="5"/>
        <v>5.16</v>
      </c>
      <c r="M38" s="486">
        <f t="shared" si="13"/>
        <v>3.44</v>
      </c>
      <c r="N38" s="486">
        <f t="shared" si="6"/>
        <v>8.6</v>
      </c>
      <c r="O38" s="487">
        <v>25</v>
      </c>
      <c r="P38" s="486">
        <f t="shared" si="7"/>
        <v>3.75</v>
      </c>
      <c r="Q38" s="486">
        <f t="shared" si="14"/>
        <v>2.5</v>
      </c>
      <c r="R38" s="486">
        <f t="shared" si="8"/>
        <v>6.25</v>
      </c>
      <c r="S38" s="233">
        <f t="shared" si="9"/>
        <v>499</v>
      </c>
      <c r="T38" s="486">
        <f t="shared" si="15"/>
        <v>38.400000000000006</v>
      </c>
      <c r="U38" s="486">
        <f t="shared" si="16"/>
        <v>25.6</v>
      </c>
      <c r="V38" s="486">
        <f t="shared" si="10"/>
        <v>64</v>
      </c>
    </row>
    <row r="39" spans="1:22" ht="14.25">
      <c r="A39" s="201">
        <f t="shared" si="11"/>
        <v>28</v>
      </c>
      <c r="B39" s="201" t="s">
        <v>618</v>
      </c>
      <c r="C39" s="233">
        <v>401</v>
      </c>
      <c r="D39" s="233">
        <f t="shared" si="0"/>
        <v>24.06</v>
      </c>
      <c r="E39" s="233">
        <f t="shared" si="1"/>
        <v>16.04</v>
      </c>
      <c r="F39" s="486">
        <f t="shared" si="2"/>
        <v>40.099999999999994</v>
      </c>
      <c r="G39" s="487">
        <v>168</v>
      </c>
      <c r="H39" s="486">
        <f t="shared" si="3"/>
        <v>15.12</v>
      </c>
      <c r="I39" s="486">
        <f t="shared" si="12"/>
        <v>10.08</v>
      </c>
      <c r="J39" s="486">
        <f t="shared" si="4"/>
        <v>25.2</v>
      </c>
      <c r="K39" s="487">
        <v>45</v>
      </c>
      <c r="L39" s="486">
        <f t="shared" si="5"/>
        <v>5.4</v>
      </c>
      <c r="M39" s="486">
        <f t="shared" si="13"/>
        <v>3.6</v>
      </c>
      <c r="N39" s="486">
        <f t="shared" si="6"/>
        <v>9</v>
      </c>
      <c r="O39" s="487">
        <v>11</v>
      </c>
      <c r="P39" s="486">
        <f t="shared" si="7"/>
        <v>1.65</v>
      </c>
      <c r="Q39" s="486">
        <f t="shared" si="14"/>
        <v>1.1</v>
      </c>
      <c r="R39" s="486">
        <f t="shared" si="8"/>
        <v>2.75</v>
      </c>
      <c r="S39" s="233">
        <f t="shared" si="9"/>
        <v>625</v>
      </c>
      <c r="T39" s="486">
        <f t="shared" si="15"/>
        <v>46.23</v>
      </c>
      <c r="U39" s="486">
        <f t="shared" si="16"/>
        <v>30.82</v>
      </c>
      <c r="V39" s="486">
        <f t="shared" si="10"/>
        <v>77.05</v>
      </c>
    </row>
    <row r="40" spans="1:22" ht="14.25">
      <c r="A40" s="201">
        <f t="shared" si="11"/>
        <v>29</v>
      </c>
      <c r="B40" s="201" t="s">
        <v>619</v>
      </c>
      <c r="C40" s="233">
        <v>375</v>
      </c>
      <c r="D40" s="233">
        <f t="shared" si="0"/>
        <v>22.5</v>
      </c>
      <c r="E40" s="233">
        <f t="shared" si="1"/>
        <v>15</v>
      </c>
      <c r="F40" s="486">
        <f t="shared" si="2"/>
        <v>37.5</v>
      </c>
      <c r="G40" s="487">
        <v>218</v>
      </c>
      <c r="H40" s="486">
        <f t="shared" si="3"/>
        <v>19.62</v>
      </c>
      <c r="I40" s="486">
        <f t="shared" si="12"/>
        <v>13.08</v>
      </c>
      <c r="J40" s="486">
        <f t="shared" si="4"/>
        <v>32.7</v>
      </c>
      <c r="K40" s="487">
        <v>63</v>
      </c>
      <c r="L40" s="486">
        <f t="shared" si="5"/>
        <v>7.56</v>
      </c>
      <c r="M40" s="486">
        <f t="shared" si="13"/>
        <v>5.04</v>
      </c>
      <c r="N40" s="486">
        <f t="shared" si="6"/>
        <v>12.6</v>
      </c>
      <c r="O40" s="487">
        <v>46</v>
      </c>
      <c r="P40" s="486">
        <f t="shared" si="7"/>
        <v>6.9</v>
      </c>
      <c r="Q40" s="486">
        <f t="shared" si="14"/>
        <v>4.6</v>
      </c>
      <c r="R40" s="486">
        <f t="shared" si="8"/>
        <v>11.5</v>
      </c>
      <c r="S40" s="233">
        <f t="shared" si="9"/>
        <v>702</v>
      </c>
      <c r="T40" s="486">
        <f t="shared" si="15"/>
        <v>56.580000000000005</v>
      </c>
      <c r="U40" s="486">
        <f t="shared" si="16"/>
        <v>37.72</v>
      </c>
      <c r="V40" s="486">
        <f t="shared" si="10"/>
        <v>94.30000000000001</v>
      </c>
    </row>
    <row r="41" spans="1:22" ht="14.25">
      <c r="A41" s="201">
        <f t="shared" si="11"/>
        <v>30</v>
      </c>
      <c r="B41" s="143" t="s">
        <v>620</v>
      </c>
      <c r="C41" s="233">
        <v>157</v>
      </c>
      <c r="D41" s="233">
        <f t="shared" si="0"/>
        <v>9.42</v>
      </c>
      <c r="E41" s="233">
        <f t="shared" si="1"/>
        <v>6.28</v>
      </c>
      <c r="F41" s="486">
        <f t="shared" si="2"/>
        <v>15.7</v>
      </c>
      <c r="G41" s="487">
        <v>121</v>
      </c>
      <c r="H41" s="486">
        <f t="shared" si="3"/>
        <v>10.89</v>
      </c>
      <c r="I41" s="486">
        <f t="shared" si="12"/>
        <v>7.26</v>
      </c>
      <c r="J41" s="486">
        <f t="shared" si="4"/>
        <v>18.15</v>
      </c>
      <c r="K41" s="487">
        <v>30</v>
      </c>
      <c r="L41" s="486">
        <f t="shared" si="5"/>
        <v>3.6</v>
      </c>
      <c r="M41" s="486">
        <f t="shared" si="13"/>
        <v>2.4</v>
      </c>
      <c r="N41" s="486">
        <f t="shared" si="6"/>
        <v>6</v>
      </c>
      <c r="O41" s="487">
        <v>19</v>
      </c>
      <c r="P41" s="486">
        <f t="shared" si="7"/>
        <v>2.85</v>
      </c>
      <c r="Q41" s="486">
        <f t="shared" si="14"/>
        <v>1.9</v>
      </c>
      <c r="R41" s="486">
        <f t="shared" si="8"/>
        <v>4.75</v>
      </c>
      <c r="S41" s="233">
        <f t="shared" si="9"/>
        <v>327</v>
      </c>
      <c r="T41" s="486">
        <f t="shared" si="15"/>
        <v>26.760000000000005</v>
      </c>
      <c r="U41" s="486">
        <f t="shared" si="16"/>
        <v>17.84</v>
      </c>
      <c r="V41" s="486">
        <f t="shared" si="10"/>
        <v>44.60000000000001</v>
      </c>
    </row>
    <row r="42" spans="1:22" ht="14.25">
      <c r="A42" s="201">
        <f t="shared" si="11"/>
        <v>31</v>
      </c>
      <c r="B42" s="143" t="s">
        <v>621</v>
      </c>
      <c r="C42" s="233">
        <v>385</v>
      </c>
      <c r="D42" s="233">
        <f t="shared" si="0"/>
        <v>23.1</v>
      </c>
      <c r="E42" s="233">
        <f t="shared" si="1"/>
        <v>15.4</v>
      </c>
      <c r="F42" s="486">
        <f t="shared" si="2"/>
        <v>38.5</v>
      </c>
      <c r="G42" s="487">
        <v>98</v>
      </c>
      <c r="H42" s="486">
        <f t="shared" si="3"/>
        <v>8.82</v>
      </c>
      <c r="I42" s="486">
        <f t="shared" si="12"/>
        <v>5.88</v>
      </c>
      <c r="J42" s="486">
        <f>SUM(H42:I42)</f>
        <v>14.7</v>
      </c>
      <c r="K42" s="487">
        <v>25</v>
      </c>
      <c r="L42" s="486">
        <f t="shared" si="5"/>
        <v>3</v>
      </c>
      <c r="M42" s="486">
        <f t="shared" si="13"/>
        <v>2</v>
      </c>
      <c r="N42" s="486">
        <f t="shared" si="6"/>
        <v>5</v>
      </c>
      <c r="O42" s="487">
        <v>14</v>
      </c>
      <c r="P42" s="486">
        <f t="shared" si="7"/>
        <v>2.1</v>
      </c>
      <c r="Q42" s="486">
        <f t="shared" si="14"/>
        <v>1.4</v>
      </c>
      <c r="R42" s="486">
        <f t="shared" si="8"/>
        <v>3.5</v>
      </c>
      <c r="S42" s="233">
        <f t="shared" si="9"/>
        <v>522</v>
      </c>
      <c r="T42" s="486">
        <f t="shared" si="15"/>
        <v>37.02</v>
      </c>
      <c r="U42" s="486">
        <f t="shared" si="16"/>
        <v>24.68</v>
      </c>
      <c r="V42" s="486">
        <f t="shared" si="10"/>
        <v>61.7</v>
      </c>
    </row>
    <row r="43" spans="1:22" ht="14.25">
      <c r="A43" s="201">
        <f t="shared" si="11"/>
        <v>32</v>
      </c>
      <c r="B43" s="143" t="s">
        <v>622</v>
      </c>
      <c r="C43" s="233">
        <v>175</v>
      </c>
      <c r="D43" s="233">
        <f t="shared" si="0"/>
        <v>10.5</v>
      </c>
      <c r="E43" s="233">
        <f t="shared" si="1"/>
        <v>7</v>
      </c>
      <c r="F43" s="486">
        <f t="shared" si="2"/>
        <v>17.5</v>
      </c>
      <c r="G43" s="487">
        <v>43</v>
      </c>
      <c r="H43" s="486">
        <f t="shared" si="3"/>
        <v>3.87</v>
      </c>
      <c r="I43" s="486">
        <f t="shared" si="12"/>
        <v>2.58</v>
      </c>
      <c r="J43" s="486">
        <f>SUM(H43:I43)</f>
        <v>6.45</v>
      </c>
      <c r="K43" s="487">
        <v>30</v>
      </c>
      <c r="L43" s="486">
        <f t="shared" si="5"/>
        <v>3.6</v>
      </c>
      <c r="M43" s="486">
        <f t="shared" si="13"/>
        <v>2.4</v>
      </c>
      <c r="N43" s="486">
        <f t="shared" si="6"/>
        <v>6</v>
      </c>
      <c r="O43" s="487">
        <v>20</v>
      </c>
      <c r="P43" s="486">
        <f t="shared" si="7"/>
        <v>3</v>
      </c>
      <c r="Q43" s="486">
        <f t="shared" si="14"/>
        <v>2</v>
      </c>
      <c r="R43" s="486">
        <f t="shared" si="8"/>
        <v>5</v>
      </c>
      <c r="S43" s="233">
        <f t="shared" si="9"/>
        <v>268</v>
      </c>
      <c r="T43" s="486">
        <f t="shared" si="15"/>
        <v>20.970000000000002</v>
      </c>
      <c r="U43" s="486">
        <f t="shared" si="16"/>
        <v>13.98</v>
      </c>
      <c r="V43" s="486">
        <f t="shared" si="10"/>
        <v>34.95</v>
      </c>
    </row>
    <row r="44" spans="1:22" ht="14.25">
      <c r="A44" s="201">
        <f t="shared" si="11"/>
        <v>33</v>
      </c>
      <c r="B44" s="143" t="s">
        <v>623</v>
      </c>
      <c r="C44" s="233">
        <v>346</v>
      </c>
      <c r="D44" s="233">
        <f t="shared" si="0"/>
        <v>20.76</v>
      </c>
      <c r="E44" s="233">
        <f t="shared" si="1"/>
        <v>13.84</v>
      </c>
      <c r="F44" s="486">
        <f t="shared" si="2"/>
        <v>34.6</v>
      </c>
      <c r="G44" s="487">
        <v>123</v>
      </c>
      <c r="H44" s="486">
        <f t="shared" si="3"/>
        <v>11.07</v>
      </c>
      <c r="I44" s="486">
        <f t="shared" si="12"/>
        <v>7.38</v>
      </c>
      <c r="J44" s="486">
        <f>SUM(H44:I44)</f>
        <v>18.45</v>
      </c>
      <c r="K44" s="487">
        <v>40</v>
      </c>
      <c r="L44" s="486">
        <f t="shared" si="5"/>
        <v>4.8</v>
      </c>
      <c r="M44" s="486">
        <f t="shared" si="13"/>
        <v>3.2</v>
      </c>
      <c r="N44" s="486">
        <f t="shared" si="6"/>
        <v>8</v>
      </c>
      <c r="O44" s="487">
        <v>21</v>
      </c>
      <c r="P44" s="486">
        <f t="shared" si="7"/>
        <v>3.15</v>
      </c>
      <c r="Q44" s="486">
        <f t="shared" si="14"/>
        <v>2.1</v>
      </c>
      <c r="R44" s="486">
        <f t="shared" si="8"/>
        <v>5.25</v>
      </c>
      <c r="S44" s="233">
        <f t="shared" si="9"/>
        <v>530</v>
      </c>
      <c r="T44" s="486">
        <f t="shared" si="15"/>
        <v>39.78</v>
      </c>
      <c r="U44" s="486">
        <f t="shared" si="16"/>
        <v>26.52</v>
      </c>
      <c r="V44" s="486">
        <f t="shared" si="10"/>
        <v>66.3</v>
      </c>
    </row>
    <row r="45" spans="1:23" s="286" customFormat="1" ht="15">
      <c r="A45" s="150"/>
      <c r="B45" s="150" t="s">
        <v>624</v>
      </c>
      <c r="C45" s="490">
        <f>SUM(C12:C44)</f>
        <v>9332</v>
      </c>
      <c r="D45" s="489">
        <f aca="true" t="shared" si="17" ref="D45:U45">SUM(D12:D44)</f>
        <v>559.92</v>
      </c>
      <c r="E45" s="489">
        <f t="shared" si="17"/>
        <v>373.28</v>
      </c>
      <c r="F45" s="489">
        <f t="shared" si="17"/>
        <v>933.2</v>
      </c>
      <c r="G45" s="488">
        <f>SUM(G12:G44)</f>
        <v>4819</v>
      </c>
      <c r="H45" s="489">
        <f t="shared" si="17"/>
        <v>433.7099999999999</v>
      </c>
      <c r="I45" s="489">
        <f t="shared" si="17"/>
        <v>289.14</v>
      </c>
      <c r="J45" s="490">
        <f t="shared" si="17"/>
        <v>722.8500000000003</v>
      </c>
      <c r="K45" s="488">
        <f>SUM(K12:K44)</f>
        <v>1910</v>
      </c>
      <c r="L45" s="489">
        <f t="shared" si="17"/>
        <v>229.20000000000002</v>
      </c>
      <c r="M45" s="489">
        <f t="shared" si="17"/>
        <v>152.79999999999998</v>
      </c>
      <c r="N45" s="490">
        <f t="shared" si="17"/>
        <v>382</v>
      </c>
      <c r="O45" s="488">
        <f>SUM(O12:O44)</f>
        <v>1353</v>
      </c>
      <c r="P45" s="489">
        <f t="shared" si="17"/>
        <v>202.95000000000002</v>
      </c>
      <c r="Q45" s="489">
        <f t="shared" si="17"/>
        <v>135.3</v>
      </c>
      <c r="R45" s="490">
        <f t="shared" si="17"/>
        <v>338.25</v>
      </c>
      <c r="S45" s="490">
        <f t="shared" si="17"/>
        <v>17414</v>
      </c>
      <c r="T45" s="489">
        <f t="shared" si="17"/>
        <v>1425.78</v>
      </c>
      <c r="U45" s="489">
        <f t="shared" si="17"/>
        <v>950.5200000000001</v>
      </c>
      <c r="V45" s="489">
        <f>SUM(V12:V44)</f>
        <v>2376.3</v>
      </c>
      <c r="W45" s="226"/>
    </row>
    <row r="48" spans="19:22" ht="15">
      <c r="S48" s="904" t="s">
        <v>860</v>
      </c>
      <c r="T48" s="904"/>
      <c r="U48" s="904"/>
      <c r="V48" s="904"/>
    </row>
    <row r="49" spans="19:22" ht="15">
      <c r="S49" s="904" t="s">
        <v>804</v>
      </c>
      <c r="T49" s="904"/>
      <c r="U49" s="904"/>
      <c r="V49" s="904"/>
    </row>
  </sheetData>
  <sheetProtection/>
  <mergeCells count="23">
    <mergeCell ref="S48:V48"/>
    <mergeCell ref="S49:V49"/>
    <mergeCell ref="C9:C10"/>
    <mergeCell ref="D9:F9"/>
    <mergeCell ref="G9:G10"/>
    <mergeCell ref="H9:J9"/>
    <mergeCell ref="K9:K10"/>
    <mergeCell ref="B8:B10"/>
    <mergeCell ref="C8:F8"/>
    <mergeCell ref="G8:J8"/>
    <mergeCell ref="K8:N8"/>
    <mergeCell ref="O8:R8"/>
    <mergeCell ref="S8:V8"/>
    <mergeCell ref="A2:V2"/>
    <mergeCell ref="A4:V4"/>
    <mergeCell ref="A1:T1"/>
    <mergeCell ref="O9:O10"/>
    <mergeCell ref="P9:R9"/>
    <mergeCell ref="S9:S10"/>
    <mergeCell ref="T9:V9"/>
    <mergeCell ref="L9:N9"/>
    <mergeCell ref="U1:V1"/>
    <mergeCell ref="A8:A10"/>
  </mergeCells>
  <printOptions horizontalCentered="1"/>
  <pageMargins left="0.2" right="0.17" top="0.39" bottom="0.38" header="0.3" footer="0.3"/>
  <pageSetup horizontalDpi="600" verticalDpi="600" orientation="landscape" paperSize="9" scale="6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SheetLayoutView="55" zoomScalePageLayoutView="0" workbookViewId="0" topLeftCell="A3">
      <selection activeCell="G11" sqref="G11:G43"/>
    </sheetView>
  </sheetViews>
  <sheetFormatPr defaultColWidth="8.8515625" defaultRowHeight="12.75"/>
  <cols>
    <col min="1" max="1" width="8.140625" style="35" customWidth="1"/>
    <col min="2" max="2" width="20.7109375" style="35" customWidth="1"/>
    <col min="3" max="3" width="12.140625" style="35" customWidth="1"/>
    <col min="4" max="4" width="11.7109375" style="35" customWidth="1"/>
    <col min="5" max="5" width="11.28125" style="35" customWidth="1"/>
    <col min="6" max="6" width="17.140625" style="35" customWidth="1"/>
    <col min="7" max="7" width="15.140625" style="35" customWidth="1"/>
    <col min="8" max="8" width="14.421875" style="35" customWidth="1"/>
    <col min="9" max="9" width="14.8515625" style="35" customWidth="1"/>
    <col min="10" max="10" width="18.421875" style="35" customWidth="1"/>
    <col min="11" max="11" width="17.28125" style="35" customWidth="1"/>
    <col min="12" max="12" width="16.28125" style="35" customWidth="1"/>
    <col min="13" max="16384" width="8.8515625" style="35" customWidth="1"/>
  </cols>
  <sheetData>
    <row r="1" spans="2:12" ht="15">
      <c r="B1" s="6"/>
      <c r="C1" s="6"/>
      <c r="D1" s="6"/>
      <c r="E1" s="6"/>
      <c r="F1" s="158"/>
      <c r="G1" s="158"/>
      <c r="H1" s="6"/>
      <c r="J1" s="176"/>
      <c r="K1" s="709" t="s">
        <v>537</v>
      </c>
      <c r="L1" s="709"/>
    </row>
    <row r="2" spans="1:12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0" ht="20.25">
      <c r="B4" s="156"/>
      <c r="C4" s="156"/>
      <c r="D4" s="156"/>
      <c r="E4" s="156"/>
      <c r="F4" s="156"/>
      <c r="G4" s="156"/>
      <c r="H4" s="156"/>
      <c r="I4" s="156"/>
      <c r="J4" s="156"/>
    </row>
    <row r="5" spans="1:12" ht="15.75">
      <c r="A5" s="938" t="s">
        <v>742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</row>
    <row r="6" spans="1:3" ht="14.25">
      <c r="A6" s="559" t="s">
        <v>665</v>
      </c>
      <c r="B6" s="559"/>
      <c r="C6" s="141"/>
    </row>
    <row r="7" spans="1:12" ht="15">
      <c r="A7" s="931" t="s">
        <v>103</v>
      </c>
      <c r="B7" s="881" t="s">
        <v>3</v>
      </c>
      <c r="C7" s="924" t="s">
        <v>21</v>
      </c>
      <c r="D7" s="924"/>
      <c r="E7" s="924"/>
      <c r="F7" s="924"/>
      <c r="G7" s="925" t="s">
        <v>22</v>
      </c>
      <c r="H7" s="926"/>
      <c r="I7" s="926"/>
      <c r="J7" s="927"/>
      <c r="K7" s="881" t="s">
        <v>372</v>
      </c>
      <c r="L7" s="892" t="s">
        <v>589</v>
      </c>
    </row>
    <row r="8" spans="1:12" ht="14.25">
      <c r="A8" s="932"/>
      <c r="B8" s="934"/>
      <c r="C8" s="892" t="s">
        <v>240</v>
      </c>
      <c r="D8" s="881" t="s">
        <v>433</v>
      </c>
      <c r="E8" s="935" t="s">
        <v>91</v>
      </c>
      <c r="F8" s="891"/>
      <c r="G8" s="882" t="s">
        <v>240</v>
      </c>
      <c r="H8" s="892" t="s">
        <v>433</v>
      </c>
      <c r="I8" s="936" t="s">
        <v>91</v>
      </c>
      <c r="J8" s="937"/>
      <c r="K8" s="934"/>
      <c r="L8" s="892"/>
    </row>
    <row r="9" spans="1:15" ht="51">
      <c r="A9" s="933"/>
      <c r="B9" s="882"/>
      <c r="C9" s="892"/>
      <c r="D9" s="882"/>
      <c r="E9" s="186" t="s">
        <v>838</v>
      </c>
      <c r="F9" s="186" t="s">
        <v>434</v>
      </c>
      <c r="G9" s="892"/>
      <c r="H9" s="892"/>
      <c r="I9" s="186" t="s">
        <v>838</v>
      </c>
      <c r="J9" s="186" t="s">
        <v>434</v>
      </c>
      <c r="K9" s="882"/>
      <c r="L9" s="892"/>
      <c r="M9" s="53"/>
      <c r="N9" s="53"/>
      <c r="O9" s="53"/>
    </row>
    <row r="10" spans="1:15" ht="14.25">
      <c r="A10" s="73">
        <v>1</v>
      </c>
      <c r="B10" s="72">
        <v>2</v>
      </c>
      <c r="C10" s="73">
        <v>3</v>
      </c>
      <c r="D10" s="72">
        <v>4</v>
      </c>
      <c r="E10" s="73">
        <v>5</v>
      </c>
      <c r="F10" s="72">
        <v>6</v>
      </c>
      <c r="G10" s="73">
        <v>7</v>
      </c>
      <c r="H10" s="72">
        <v>8</v>
      </c>
      <c r="I10" s="73">
        <v>9</v>
      </c>
      <c r="J10" s="72">
        <v>10</v>
      </c>
      <c r="K10" s="73">
        <v>11</v>
      </c>
      <c r="L10" s="72">
        <v>12</v>
      </c>
      <c r="M10" s="53"/>
      <c r="N10" s="53"/>
      <c r="O10" s="53"/>
    </row>
    <row r="11" spans="1:12" s="53" customFormat="1" ht="14.25">
      <c r="A11" s="201">
        <v>1</v>
      </c>
      <c r="B11" s="201" t="s">
        <v>633</v>
      </c>
      <c r="C11" s="51">
        <v>40960</v>
      </c>
      <c r="D11" s="51">
        <v>1224</v>
      </c>
      <c r="E11" s="51">
        <v>1224</v>
      </c>
      <c r="F11" s="51">
        <v>0</v>
      </c>
      <c r="G11" s="51">
        <v>17090</v>
      </c>
      <c r="H11" s="51">
        <v>619</v>
      </c>
      <c r="I11" s="51">
        <v>619</v>
      </c>
      <c r="J11" s="51">
        <v>0</v>
      </c>
      <c r="K11" s="50">
        <f>E11+F11+I11+J11</f>
        <v>1843</v>
      </c>
      <c r="L11" s="52">
        <v>0</v>
      </c>
    </row>
    <row r="12" spans="1:12" s="53" customFormat="1" ht="14.25">
      <c r="A12" s="201">
        <f>A11+1</f>
        <v>2</v>
      </c>
      <c r="B12" s="201" t="s">
        <v>598</v>
      </c>
      <c r="C12" s="51">
        <v>42898</v>
      </c>
      <c r="D12" s="51">
        <v>1639</v>
      </c>
      <c r="E12" s="51">
        <v>1639</v>
      </c>
      <c r="F12" s="51">
        <v>0</v>
      </c>
      <c r="G12" s="51">
        <v>19910</v>
      </c>
      <c r="H12" s="51">
        <v>586</v>
      </c>
      <c r="I12" s="51">
        <v>586</v>
      </c>
      <c r="J12" s="51">
        <v>0</v>
      </c>
      <c r="K12" s="50">
        <f aca="true" t="shared" si="0" ref="K12:K43">E12+F12+I12+J12</f>
        <v>2225</v>
      </c>
      <c r="L12" s="52">
        <v>0</v>
      </c>
    </row>
    <row r="13" spans="1:12" s="53" customFormat="1" ht="14.25">
      <c r="A13" s="201">
        <f aca="true" t="shared" si="1" ref="A13:A43">A12+1</f>
        <v>3</v>
      </c>
      <c r="B13" s="201" t="s">
        <v>634</v>
      </c>
      <c r="C13" s="51">
        <v>85304</v>
      </c>
      <c r="D13" s="51">
        <v>876</v>
      </c>
      <c r="E13" s="51">
        <v>876</v>
      </c>
      <c r="F13" s="51">
        <v>0</v>
      </c>
      <c r="G13" s="51">
        <v>45004</v>
      </c>
      <c r="H13" s="51">
        <v>283</v>
      </c>
      <c r="I13" s="51">
        <v>283</v>
      </c>
      <c r="J13" s="51">
        <v>0</v>
      </c>
      <c r="K13" s="50">
        <f t="shared" si="0"/>
        <v>1159</v>
      </c>
      <c r="L13" s="52">
        <v>0</v>
      </c>
    </row>
    <row r="14" spans="1:12" s="53" customFormat="1" ht="14.25">
      <c r="A14" s="201">
        <f t="shared" si="1"/>
        <v>4</v>
      </c>
      <c r="B14" s="201" t="s">
        <v>599</v>
      </c>
      <c r="C14" s="51">
        <v>28443</v>
      </c>
      <c r="D14" s="51">
        <v>798</v>
      </c>
      <c r="E14" s="51">
        <v>798</v>
      </c>
      <c r="F14" s="51">
        <v>0</v>
      </c>
      <c r="G14" s="51">
        <v>20519</v>
      </c>
      <c r="H14" s="51">
        <v>768</v>
      </c>
      <c r="I14" s="51">
        <v>768</v>
      </c>
      <c r="J14" s="51">
        <v>0</v>
      </c>
      <c r="K14" s="50">
        <f t="shared" si="0"/>
        <v>1566</v>
      </c>
      <c r="L14" s="52">
        <v>0</v>
      </c>
    </row>
    <row r="15" spans="1:12" s="53" customFormat="1" ht="14.25">
      <c r="A15" s="201">
        <f t="shared" si="1"/>
        <v>5</v>
      </c>
      <c r="B15" s="201" t="s">
        <v>600</v>
      </c>
      <c r="C15" s="51">
        <v>17699</v>
      </c>
      <c r="D15" s="51">
        <v>600</v>
      </c>
      <c r="E15" s="51">
        <v>600</v>
      </c>
      <c r="F15" s="51">
        <v>0</v>
      </c>
      <c r="G15" s="51">
        <v>13861</v>
      </c>
      <c r="H15" s="51">
        <v>492</v>
      </c>
      <c r="I15" s="51">
        <v>492</v>
      </c>
      <c r="J15" s="51">
        <v>0</v>
      </c>
      <c r="K15" s="50">
        <f t="shared" si="0"/>
        <v>1092</v>
      </c>
      <c r="L15" s="52">
        <v>0</v>
      </c>
    </row>
    <row r="16" spans="1:12" s="53" customFormat="1" ht="14.25">
      <c r="A16" s="201">
        <f t="shared" si="1"/>
        <v>6</v>
      </c>
      <c r="B16" s="201" t="s">
        <v>601</v>
      </c>
      <c r="C16" s="51">
        <v>12471</v>
      </c>
      <c r="D16" s="51">
        <v>412</v>
      </c>
      <c r="E16" s="51">
        <v>412</v>
      </c>
      <c r="F16" s="51">
        <v>0</v>
      </c>
      <c r="G16" s="51">
        <v>7004</v>
      </c>
      <c r="H16" s="51">
        <f>558-215</f>
        <v>343</v>
      </c>
      <c r="I16" s="51">
        <f>558-215</f>
        <v>343</v>
      </c>
      <c r="J16" s="51">
        <v>0</v>
      </c>
      <c r="K16" s="50">
        <f t="shared" si="0"/>
        <v>755</v>
      </c>
      <c r="L16" s="52">
        <v>0</v>
      </c>
    </row>
    <row r="17" spans="1:12" s="53" customFormat="1" ht="14.25">
      <c r="A17" s="201">
        <f t="shared" si="1"/>
        <v>7</v>
      </c>
      <c r="B17" s="201" t="s">
        <v>602</v>
      </c>
      <c r="C17" s="51">
        <v>37354</v>
      </c>
      <c r="D17" s="51">
        <v>802</v>
      </c>
      <c r="E17" s="51">
        <v>802</v>
      </c>
      <c r="F17" s="51">
        <v>0</v>
      </c>
      <c r="G17" s="51">
        <v>19088</v>
      </c>
      <c r="H17" s="51">
        <v>402</v>
      </c>
      <c r="I17" s="51">
        <v>402</v>
      </c>
      <c r="J17" s="51">
        <v>0</v>
      </c>
      <c r="K17" s="50">
        <f t="shared" si="0"/>
        <v>1204</v>
      </c>
      <c r="L17" s="52">
        <v>0</v>
      </c>
    </row>
    <row r="18" spans="1:12" s="53" customFormat="1" ht="14.25">
      <c r="A18" s="201">
        <f t="shared" si="1"/>
        <v>8</v>
      </c>
      <c r="B18" s="201" t="s">
        <v>603</v>
      </c>
      <c r="C18" s="51">
        <v>45607</v>
      </c>
      <c r="D18" s="51">
        <v>1101</v>
      </c>
      <c r="E18" s="51">
        <v>1101</v>
      </c>
      <c r="F18" s="51">
        <v>0</v>
      </c>
      <c r="G18" s="51">
        <v>26739</v>
      </c>
      <c r="H18" s="51">
        <v>901</v>
      </c>
      <c r="I18" s="51">
        <v>901</v>
      </c>
      <c r="J18" s="51">
        <v>0</v>
      </c>
      <c r="K18" s="50">
        <f t="shared" si="0"/>
        <v>2002</v>
      </c>
      <c r="L18" s="52">
        <v>0</v>
      </c>
    </row>
    <row r="19" spans="1:12" s="53" customFormat="1" ht="14.25">
      <c r="A19" s="201">
        <f t="shared" si="1"/>
        <v>9</v>
      </c>
      <c r="B19" s="201" t="s">
        <v>604</v>
      </c>
      <c r="C19" s="51">
        <v>19924</v>
      </c>
      <c r="D19" s="51">
        <v>578</v>
      </c>
      <c r="E19" s="51">
        <v>578</v>
      </c>
      <c r="F19" s="51">
        <v>0</v>
      </c>
      <c r="G19" s="51">
        <v>16266</v>
      </c>
      <c r="H19" s="51">
        <v>556</v>
      </c>
      <c r="I19" s="51">
        <v>556</v>
      </c>
      <c r="J19" s="51">
        <v>0</v>
      </c>
      <c r="K19" s="50">
        <f t="shared" si="0"/>
        <v>1134</v>
      </c>
      <c r="L19" s="52">
        <v>0</v>
      </c>
    </row>
    <row r="20" spans="1:12" s="53" customFormat="1" ht="14.25">
      <c r="A20" s="201">
        <f t="shared" si="1"/>
        <v>10</v>
      </c>
      <c r="B20" s="201" t="s">
        <v>605</v>
      </c>
      <c r="C20" s="51">
        <v>47025</v>
      </c>
      <c r="D20" s="51">
        <v>1450</v>
      </c>
      <c r="E20" s="51">
        <v>1450</v>
      </c>
      <c r="F20" s="51">
        <v>0</v>
      </c>
      <c r="G20" s="51">
        <v>28105</v>
      </c>
      <c r="H20" s="51">
        <v>984</v>
      </c>
      <c r="I20" s="51">
        <v>984</v>
      </c>
      <c r="J20" s="51">
        <v>0</v>
      </c>
      <c r="K20" s="50">
        <f t="shared" si="0"/>
        <v>2434</v>
      </c>
      <c r="L20" s="52">
        <v>0</v>
      </c>
    </row>
    <row r="21" spans="1:12" s="53" customFormat="1" ht="14.25">
      <c r="A21" s="201">
        <f t="shared" si="1"/>
        <v>11</v>
      </c>
      <c r="B21" s="201" t="s">
        <v>635</v>
      </c>
      <c r="C21" s="51">
        <v>31935</v>
      </c>
      <c r="D21" s="51">
        <v>1151</v>
      </c>
      <c r="E21" s="51">
        <v>1151</v>
      </c>
      <c r="F21" s="51">
        <v>0</v>
      </c>
      <c r="G21" s="51">
        <v>12059</v>
      </c>
      <c r="H21" s="51">
        <v>430</v>
      </c>
      <c r="I21" s="51">
        <v>430</v>
      </c>
      <c r="J21" s="51">
        <v>0</v>
      </c>
      <c r="K21" s="50">
        <f t="shared" si="0"/>
        <v>1581</v>
      </c>
      <c r="L21" s="52">
        <v>0</v>
      </c>
    </row>
    <row r="22" spans="1:12" s="53" customFormat="1" ht="14.25">
      <c r="A22" s="201">
        <f t="shared" si="1"/>
        <v>12</v>
      </c>
      <c r="B22" s="201" t="s">
        <v>606</v>
      </c>
      <c r="C22" s="51">
        <v>29521</v>
      </c>
      <c r="D22" s="51">
        <v>1143</v>
      </c>
      <c r="E22" s="51">
        <v>1143</v>
      </c>
      <c r="F22" s="51">
        <v>0</v>
      </c>
      <c r="G22" s="51">
        <v>15712</v>
      </c>
      <c r="H22" s="51">
        <v>557</v>
      </c>
      <c r="I22" s="51">
        <v>557</v>
      </c>
      <c r="J22" s="51">
        <v>0</v>
      </c>
      <c r="K22" s="50">
        <f t="shared" si="0"/>
        <v>1700</v>
      </c>
      <c r="L22" s="52">
        <v>0</v>
      </c>
    </row>
    <row r="23" spans="1:12" s="53" customFormat="1" ht="14.25">
      <c r="A23" s="201">
        <f t="shared" si="1"/>
        <v>13</v>
      </c>
      <c r="B23" s="201" t="s">
        <v>607</v>
      </c>
      <c r="C23" s="51">
        <v>43248</v>
      </c>
      <c r="D23" s="51">
        <v>1176</v>
      </c>
      <c r="E23" s="51">
        <v>1176</v>
      </c>
      <c r="F23" s="51">
        <v>0</v>
      </c>
      <c r="G23" s="51">
        <v>26163</v>
      </c>
      <c r="H23" s="51">
        <v>865</v>
      </c>
      <c r="I23" s="51">
        <v>865</v>
      </c>
      <c r="J23" s="51">
        <v>0</v>
      </c>
      <c r="K23" s="50">
        <f t="shared" si="0"/>
        <v>2041</v>
      </c>
      <c r="L23" s="52">
        <v>0</v>
      </c>
    </row>
    <row r="24" spans="1:12" s="53" customFormat="1" ht="14.25">
      <c r="A24" s="201">
        <f t="shared" si="1"/>
        <v>14</v>
      </c>
      <c r="B24" s="201" t="s">
        <v>636</v>
      </c>
      <c r="C24" s="51">
        <v>23157</v>
      </c>
      <c r="D24" s="51">
        <v>763</v>
      </c>
      <c r="E24" s="51">
        <v>763</v>
      </c>
      <c r="F24" s="51">
        <v>0</v>
      </c>
      <c r="G24" s="51">
        <v>17485</v>
      </c>
      <c r="H24" s="51">
        <v>527</v>
      </c>
      <c r="I24" s="51">
        <v>527</v>
      </c>
      <c r="J24" s="51">
        <v>0</v>
      </c>
      <c r="K24" s="50">
        <f t="shared" si="0"/>
        <v>1290</v>
      </c>
      <c r="L24" s="52">
        <v>0</v>
      </c>
    </row>
    <row r="25" spans="1:12" s="53" customFormat="1" ht="14.25">
      <c r="A25" s="201">
        <f t="shared" si="1"/>
        <v>15</v>
      </c>
      <c r="B25" s="201" t="s">
        <v>608</v>
      </c>
      <c r="C25" s="51">
        <v>41683</v>
      </c>
      <c r="D25" s="51">
        <v>1562</v>
      </c>
      <c r="E25" s="51">
        <v>1562</v>
      </c>
      <c r="F25" s="51">
        <v>0</v>
      </c>
      <c r="G25" s="51">
        <v>26309</v>
      </c>
      <c r="H25" s="51">
        <v>763</v>
      </c>
      <c r="I25" s="51">
        <v>763</v>
      </c>
      <c r="J25" s="51">
        <v>0</v>
      </c>
      <c r="K25" s="50">
        <f t="shared" si="0"/>
        <v>2325</v>
      </c>
      <c r="L25" s="52">
        <v>0</v>
      </c>
    </row>
    <row r="26" spans="1:12" s="53" customFormat="1" ht="14.25">
      <c r="A26" s="201">
        <f t="shared" si="1"/>
        <v>16</v>
      </c>
      <c r="B26" s="201" t="s">
        <v>609</v>
      </c>
      <c r="C26" s="51">
        <v>42857</v>
      </c>
      <c r="D26" s="51">
        <v>812</v>
      </c>
      <c r="E26" s="51">
        <v>812</v>
      </c>
      <c r="F26" s="51">
        <v>0</v>
      </c>
      <c r="G26" s="51">
        <v>27632</v>
      </c>
      <c r="H26" s="51">
        <v>347</v>
      </c>
      <c r="I26" s="51">
        <v>347</v>
      </c>
      <c r="J26" s="51">
        <v>0</v>
      </c>
      <c r="K26" s="50">
        <f t="shared" si="0"/>
        <v>1159</v>
      </c>
      <c r="L26" s="52">
        <v>0</v>
      </c>
    </row>
    <row r="27" spans="1:12" s="53" customFormat="1" ht="14.25">
      <c r="A27" s="201">
        <f t="shared" si="1"/>
        <v>17</v>
      </c>
      <c r="B27" s="269" t="s">
        <v>757</v>
      </c>
      <c r="C27" s="51">
        <v>11408</v>
      </c>
      <c r="D27" s="51">
        <v>450</v>
      </c>
      <c r="E27" s="51">
        <v>450</v>
      </c>
      <c r="F27" s="51">
        <v>0</v>
      </c>
      <c r="G27" s="51">
        <v>4928</v>
      </c>
      <c r="H27" s="51">
        <v>215</v>
      </c>
      <c r="I27" s="51">
        <v>215</v>
      </c>
      <c r="J27" s="51">
        <v>0</v>
      </c>
      <c r="K27" s="50">
        <f t="shared" si="0"/>
        <v>665</v>
      </c>
      <c r="L27" s="52">
        <v>0</v>
      </c>
    </row>
    <row r="28" spans="1:12" s="53" customFormat="1" ht="14.25">
      <c r="A28" s="201">
        <f t="shared" si="1"/>
        <v>18</v>
      </c>
      <c r="B28" s="201" t="s">
        <v>610</v>
      </c>
      <c r="C28" s="51">
        <v>35849</v>
      </c>
      <c r="D28" s="51">
        <v>1120</v>
      </c>
      <c r="E28" s="51">
        <v>1120</v>
      </c>
      <c r="F28" s="51">
        <v>0</v>
      </c>
      <c r="G28" s="51">
        <v>21861</v>
      </c>
      <c r="H28" s="51">
        <v>743</v>
      </c>
      <c r="I28" s="51">
        <v>743</v>
      </c>
      <c r="J28" s="51">
        <v>0</v>
      </c>
      <c r="K28" s="50">
        <f t="shared" si="0"/>
        <v>1863</v>
      </c>
      <c r="L28" s="52">
        <v>0</v>
      </c>
    </row>
    <row r="29" spans="1:15" ht="14.25">
      <c r="A29" s="201">
        <f t="shared" si="1"/>
        <v>19</v>
      </c>
      <c r="B29" s="201" t="s">
        <v>611</v>
      </c>
      <c r="C29" s="51">
        <v>54348</v>
      </c>
      <c r="D29" s="51">
        <v>2205</v>
      </c>
      <c r="E29" s="51">
        <v>2205</v>
      </c>
      <c r="F29" s="51">
        <v>0</v>
      </c>
      <c r="G29" s="51">
        <v>34825</v>
      </c>
      <c r="H29" s="51">
        <v>698</v>
      </c>
      <c r="I29" s="51">
        <v>698</v>
      </c>
      <c r="J29" s="51">
        <v>0</v>
      </c>
      <c r="K29" s="50">
        <f t="shared" si="0"/>
        <v>2903</v>
      </c>
      <c r="L29" s="52">
        <v>0</v>
      </c>
      <c r="M29" s="53"/>
      <c r="N29" s="53"/>
      <c r="O29" s="53"/>
    </row>
    <row r="30" spans="1:15" ht="14.25">
      <c r="A30" s="201">
        <f t="shared" si="1"/>
        <v>20</v>
      </c>
      <c r="B30" s="269" t="s">
        <v>756</v>
      </c>
      <c r="C30" s="51">
        <v>34495</v>
      </c>
      <c r="D30" s="51">
        <v>936</v>
      </c>
      <c r="E30" s="51">
        <v>936</v>
      </c>
      <c r="F30" s="51">
        <v>0</v>
      </c>
      <c r="G30" s="51">
        <v>19301</v>
      </c>
      <c r="H30" s="51">
        <f>1377-865</f>
        <v>512</v>
      </c>
      <c r="I30" s="51">
        <f>1377-865</f>
        <v>512</v>
      </c>
      <c r="J30" s="51">
        <v>0</v>
      </c>
      <c r="K30" s="50">
        <f t="shared" si="0"/>
        <v>1448</v>
      </c>
      <c r="L30" s="52">
        <v>0</v>
      </c>
      <c r="M30" s="53"/>
      <c r="N30" s="53"/>
      <c r="O30" s="53"/>
    </row>
    <row r="31" spans="1:15" ht="14.25">
      <c r="A31" s="201">
        <f t="shared" si="1"/>
        <v>21</v>
      </c>
      <c r="B31" s="201" t="s">
        <v>637</v>
      </c>
      <c r="C31" s="50">
        <v>29038</v>
      </c>
      <c r="D31" s="50">
        <v>868</v>
      </c>
      <c r="E31" s="50">
        <v>868</v>
      </c>
      <c r="F31" s="51">
        <v>0</v>
      </c>
      <c r="G31" s="51">
        <v>16184</v>
      </c>
      <c r="H31" s="50">
        <v>418</v>
      </c>
      <c r="I31" s="50">
        <v>418</v>
      </c>
      <c r="J31" s="51">
        <v>0</v>
      </c>
      <c r="K31" s="50">
        <f t="shared" si="0"/>
        <v>1286</v>
      </c>
      <c r="L31" s="52">
        <v>0</v>
      </c>
      <c r="M31" s="53"/>
      <c r="N31" s="53"/>
      <c r="O31" s="53"/>
    </row>
    <row r="32" spans="1:14" ht="14.25">
      <c r="A32" s="201">
        <f t="shared" si="1"/>
        <v>22</v>
      </c>
      <c r="B32" s="201" t="s">
        <v>612</v>
      </c>
      <c r="C32" s="50">
        <v>55190</v>
      </c>
      <c r="D32" s="50">
        <v>1256</v>
      </c>
      <c r="E32" s="50">
        <v>1256</v>
      </c>
      <c r="F32" s="51">
        <v>0</v>
      </c>
      <c r="G32" s="51">
        <v>34847</v>
      </c>
      <c r="H32" s="50">
        <v>1027</v>
      </c>
      <c r="I32" s="50">
        <v>1027</v>
      </c>
      <c r="J32" s="51">
        <v>0</v>
      </c>
      <c r="K32" s="50">
        <f t="shared" si="0"/>
        <v>2283</v>
      </c>
      <c r="L32" s="52">
        <v>0</v>
      </c>
      <c r="N32" s="53"/>
    </row>
    <row r="33" spans="1:14" ht="14.25">
      <c r="A33" s="201">
        <f t="shared" si="1"/>
        <v>23</v>
      </c>
      <c r="B33" s="201" t="s">
        <v>613</v>
      </c>
      <c r="C33" s="50">
        <v>15603</v>
      </c>
      <c r="D33" s="50">
        <v>573</v>
      </c>
      <c r="E33" s="50">
        <v>573</v>
      </c>
      <c r="F33" s="51">
        <v>0</v>
      </c>
      <c r="G33" s="51">
        <v>12441</v>
      </c>
      <c r="H33" s="50">
        <v>550</v>
      </c>
      <c r="I33" s="50">
        <v>550</v>
      </c>
      <c r="J33" s="51">
        <v>0</v>
      </c>
      <c r="K33" s="50">
        <f t="shared" si="0"/>
        <v>1123</v>
      </c>
      <c r="L33" s="52">
        <v>0</v>
      </c>
      <c r="N33" s="53"/>
    </row>
    <row r="34" spans="1:14" ht="14.25">
      <c r="A34" s="201">
        <f t="shared" si="1"/>
        <v>24</v>
      </c>
      <c r="B34" s="201" t="s">
        <v>614</v>
      </c>
      <c r="C34" s="50">
        <v>17507</v>
      </c>
      <c r="D34" s="50">
        <v>438</v>
      </c>
      <c r="E34" s="50">
        <v>438</v>
      </c>
      <c r="F34" s="51">
        <v>0</v>
      </c>
      <c r="G34" s="51">
        <v>11020</v>
      </c>
      <c r="H34" s="50">
        <v>425</v>
      </c>
      <c r="I34" s="50">
        <v>425</v>
      </c>
      <c r="J34" s="51">
        <v>0</v>
      </c>
      <c r="K34" s="50">
        <f t="shared" si="0"/>
        <v>863</v>
      </c>
      <c r="L34" s="52">
        <v>0</v>
      </c>
      <c r="N34" s="53"/>
    </row>
    <row r="35" spans="1:14" ht="14.25">
      <c r="A35" s="201">
        <f t="shared" si="1"/>
        <v>25</v>
      </c>
      <c r="B35" s="201" t="s">
        <v>615</v>
      </c>
      <c r="C35" s="50">
        <v>77130</v>
      </c>
      <c r="D35" s="50">
        <v>1885</v>
      </c>
      <c r="E35" s="50">
        <v>1885</v>
      </c>
      <c r="F35" s="51">
        <v>0</v>
      </c>
      <c r="G35" s="51">
        <v>49758</v>
      </c>
      <c r="H35" s="50">
        <v>808</v>
      </c>
      <c r="I35" s="50">
        <v>808</v>
      </c>
      <c r="J35" s="51">
        <v>0</v>
      </c>
      <c r="K35" s="50">
        <f t="shared" si="0"/>
        <v>2693</v>
      </c>
      <c r="L35" s="52">
        <v>0</v>
      </c>
      <c r="N35" s="53"/>
    </row>
    <row r="36" spans="1:14" ht="14.25">
      <c r="A36" s="201">
        <f t="shared" si="1"/>
        <v>26</v>
      </c>
      <c r="B36" s="201" t="s">
        <v>616</v>
      </c>
      <c r="C36" s="50">
        <v>61266</v>
      </c>
      <c r="D36" s="50">
        <v>1834</v>
      </c>
      <c r="E36" s="50">
        <v>1834</v>
      </c>
      <c r="F36" s="51">
        <v>0</v>
      </c>
      <c r="G36" s="51">
        <v>37488</v>
      </c>
      <c r="H36" s="50">
        <v>826</v>
      </c>
      <c r="I36" s="50">
        <v>826</v>
      </c>
      <c r="J36" s="51">
        <v>0</v>
      </c>
      <c r="K36" s="50">
        <f t="shared" si="0"/>
        <v>2660</v>
      </c>
      <c r="L36" s="52">
        <v>0</v>
      </c>
      <c r="N36" s="53"/>
    </row>
    <row r="37" spans="1:14" ht="14.25">
      <c r="A37" s="201">
        <f t="shared" si="1"/>
        <v>27</v>
      </c>
      <c r="B37" s="201" t="s">
        <v>617</v>
      </c>
      <c r="C37" s="50">
        <v>38872</v>
      </c>
      <c r="D37" s="50">
        <v>1232</v>
      </c>
      <c r="E37" s="50">
        <v>1232</v>
      </c>
      <c r="F37" s="51">
        <v>0</v>
      </c>
      <c r="G37" s="51">
        <v>28564</v>
      </c>
      <c r="H37" s="50">
        <v>819</v>
      </c>
      <c r="I37" s="50">
        <v>819</v>
      </c>
      <c r="J37" s="51">
        <v>0</v>
      </c>
      <c r="K37" s="50">
        <f t="shared" si="0"/>
        <v>2051</v>
      </c>
      <c r="L37" s="52">
        <v>0</v>
      </c>
      <c r="N37" s="53"/>
    </row>
    <row r="38" spans="1:14" ht="14.25">
      <c r="A38" s="201">
        <f t="shared" si="1"/>
        <v>28</v>
      </c>
      <c r="B38" s="201" t="s">
        <v>618</v>
      </c>
      <c r="C38" s="50">
        <v>33768</v>
      </c>
      <c r="D38" s="50">
        <v>1430</v>
      </c>
      <c r="E38" s="50">
        <v>1430</v>
      </c>
      <c r="F38" s="51">
        <v>0</v>
      </c>
      <c r="G38" s="51">
        <v>20550</v>
      </c>
      <c r="H38" s="50">
        <v>462</v>
      </c>
      <c r="I38" s="50">
        <v>462</v>
      </c>
      <c r="J38" s="51">
        <v>0</v>
      </c>
      <c r="K38" s="50">
        <f t="shared" si="0"/>
        <v>1892</v>
      </c>
      <c r="L38" s="52">
        <v>0</v>
      </c>
      <c r="N38" s="53"/>
    </row>
    <row r="39" spans="1:14" ht="14.25">
      <c r="A39" s="201">
        <f t="shared" si="1"/>
        <v>29</v>
      </c>
      <c r="B39" s="201" t="s">
        <v>619</v>
      </c>
      <c r="C39" s="50">
        <v>50413</v>
      </c>
      <c r="D39" s="50">
        <v>1170</v>
      </c>
      <c r="E39" s="50">
        <v>1170</v>
      </c>
      <c r="F39" s="51">
        <v>0</v>
      </c>
      <c r="G39" s="51">
        <v>30948</v>
      </c>
      <c r="H39" s="50">
        <v>779</v>
      </c>
      <c r="I39" s="50">
        <v>779</v>
      </c>
      <c r="J39" s="51">
        <v>0</v>
      </c>
      <c r="K39" s="50">
        <f t="shared" si="0"/>
        <v>1949</v>
      </c>
      <c r="L39" s="52">
        <v>0</v>
      </c>
      <c r="N39" s="53"/>
    </row>
    <row r="40" spans="1:14" ht="14.25">
      <c r="A40" s="201">
        <f t="shared" si="1"/>
        <v>30</v>
      </c>
      <c r="B40" s="143" t="s">
        <v>620</v>
      </c>
      <c r="C40" s="50">
        <v>24643</v>
      </c>
      <c r="D40" s="50">
        <v>697</v>
      </c>
      <c r="E40" s="50">
        <v>697</v>
      </c>
      <c r="F40" s="51">
        <v>0</v>
      </c>
      <c r="G40" s="51">
        <v>15087</v>
      </c>
      <c r="H40" s="50">
        <v>529</v>
      </c>
      <c r="I40" s="50">
        <v>529</v>
      </c>
      <c r="J40" s="51">
        <v>0</v>
      </c>
      <c r="K40" s="50">
        <f t="shared" si="0"/>
        <v>1226</v>
      </c>
      <c r="L40" s="52">
        <v>0</v>
      </c>
      <c r="N40" s="53"/>
    </row>
    <row r="41" spans="1:14" ht="14.25">
      <c r="A41" s="201">
        <f t="shared" si="1"/>
        <v>31</v>
      </c>
      <c r="B41" s="143" t="s">
        <v>621</v>
      </c>
      <c r="C41" s="50">
        <v>19510</v>
      </c>
      <c r="D41" s="50">
        <v>754</v>
      </c>
      <c r="E41" s="50">
        <v>754</v>
      </c>
      <c r="F41" s="51">
        <v>0</v>
      </c>
      <c r="G41" s="51">
        <v>11341</v>
      </c>
      <c r="H41" s="50">
        <v>578</v>
      </c>
      <c r="I41" s="50">
        <v>578</v>
      </c>
      <c r="J41" s="51">
        <v>0</v>
      </c>
      <c r="K41" s="50">
        <f t="shared" si="0"/>
        <v>1332</v>
      </c>
      <c r="L41" s="52">
        <v>0</v>
      </c>
      <c r="N41" s="53"/>
    </row>
    <row r="42" spans="1:14" ht="14.25">
      <c r="A42" s="201">
        <f t="shared" si="1"/>
        <v>32</v>
      </c>
      <c r="B42" s="143" t="s">
        <v>622</v>
      </c>
      <c r="C42" s="50">
        <v>23230</v>
      </c>
      <c r="D42" s="50">
        <v>564</v>
      </c>
      <c r="E42" s="50">
        <v>564</v>
      </c>
      <c r="F42" s="51">
        <v>0</v>
      </c>
      <c r="G42" s="51">
        <v>14860</v>
      </c>
      <c r="H42" s="50">
        <v>525</v>
      </c>
      <c r="I42" s="50">
        <v>525</v>
      </c>
      <c r="J42" s="51">
        <v>0</v>
      </c>
      <c r="K42" s="50">
        <f t="shared" si="0"/>
        <v>1089</v>
      </c>
      <c r="L42" s="52">
        <v>0</v>
      </c>
      <c r="N42" s="53"/>
    </row>
    <row r="43" spans="1:14" ht="14.25">
      <c r="A43" s="201">
        <f t="shared" si="1"/>
        <v>33</v>
      </c>
      <c r="B43" s="143" t="s">
        <v>623</v>
      </c>
      <c r="C43" s="50">
        <v>20793</v>
      </c>
      <c r="D43" s="50">
        <v>1017</v>
      </c>
      <c r="E43" s="50">
        <v>1017</v>
      </c>
      <c r="F43" s="51">
        <v>0</v>
      </c>
      <c r="G43" s="51">
        <v>17200</v>
      </c>
      <c r="H43" s="50">
        <v>379</v>
      </c>
      <c r="I43" s="50">
        <v>379</v>
      </c>
      <c r="J43" s="51">
        <v>0</v>
      </c>
      <c r="K43" s="50">
        <f t="shared" si="0"/>
        <v>1396</v>
      </c>
      <c r="L43" s="52">
        <v>0</v>
      </c>
      <c r="N43" s="53"/>
    </row>
    <row r="44" spans="1:14" ht="15">
      <c r="A44" s="150"/>
      <c r="B44" s="150" t="s">
        <v>624</v>
      </c>
      <c r="C44" s="287">
        <f>SUM(C11:C43)</f>
        <v>1193149</v>
      </c>
      <c r="D44" s="287">
        <f aca="true" t="shared" si="2" ref="D44:L44">SUM(D11:D43)</f>
        <v>34516</v>
      </c>
      <c r="E44" s="287">
        <f t="shared" si="2"/>
        <v>34516</v>
      </c>
      <c r="F44" s="287">
        <f t="shared" si="2"/>
        <v>0</v>
      </c>
      <c r="G44" s="287">
        <f t="shared" si="2"/>
        <v>720149</v>
      </c>
      <c r="H44" s="287">
        <f t="shared" si="2"/>
        <v>19716</v>
      </c>
      <c r="I44" s="287">
        <f t="shared" si="2"/>
        <v>19716</v>
      </c>
      <c r="J44" s="287">
        <f t="shared" si="2"/>
        <v>0</v>
      </c>
      <c r="K44" s="395">
        <f t="shared" si="2"/>
        <v>54232</v>
      </c>
      <c r="L44" s="287">
        <f t="shared" si="2"/>
        <v>0</v>
      </c>
      <c r="N44" s="229"/>
    </row>
    <row r="45" spans="1:12" ht="14.25">
      <c r="A45" s="928" t="s">
        <v>112</v>
      </c>
      <c r="B45" s="929"/>
      <c r="C45" s="929"/>
      <c r="D45" s="929"/>
      <c r="E45" s="929"/>
      <c r="F45" s="929"/>
      <c r="G45" s="929"/>
      <c r="H45" s="929"/>
      <c r="I45" s="929"/>
      <c r="J45" s="929"/>
      <c r="K45" s="930"/>
      <c r="L45" s="930"/>
    </row>
    <row r="47" spans="10:19" s="6" customFormat="1" ht="12.75">
      <c r="J47" s="565"/>
      <c r="K47" s="565"/>
      <c r="L47" s="565"/>
      <c r="M47" s="565"/>
      <c r="N47" s="565"/>
      <c r="O47" s="565"/>
      <c r="P47" s="565"/>
      <c r="Q47" s="565"/>
      <c r="R47" s="565"/>
      <c r="S47" s="565"/>
    </row>
    <row r="49" spans="9:12" ht="15.75">
      <c r="I49" s="621" t="s">
        <v>860</v>
      </c>
      <c r="J49" s="621"/>
      <c r="K49" s="621"/>
      <c r="L49" s="621"/>
    </row>
    <row r="50" spans="9:12" ht="15.75">
      <c r="I50" s="621" t="s">
        <v>653</v>
      </c>
      <c r="J50" s="621"/>
      <c r="K50" s="621"/>
      <c r="L50" s="621"/>
    </row>
  </sheetData>
  <sheetProtection/>
  <mergeCells count="21">
    <mergeCell ref="A2:L2"/>
    <mergeCell ref="A3:L3"/>
    <mergeCell ref="A5:L5"/>
    <mergeCell ref="I50:L50"/>
    <mergeCell ref="K1:L1"/>
    <mergeCell ref="G7:J7"/>
    <mergeCell ref="A6:B6"/>
    <mergeCell ref="L7:L9"/>
    <mergeCell ref="A45:L45"/>
    <mergeCell ref="A7:A9"/>
    <mergeCell ref="B7:B9"/>
    <mergeCell ref="K7:K9"/>
    <mergeCell ref="J47:S47"/>
    <mergeCell ref="C8:C9"/>
    <mergeCell ref="H8:H9"/>
    <mergeCell ref="G8:G9"/>
    <mergeCell ref="C7:F7"/>
    <mergeCell ref="D8:D9"/>
    <mergeCell ref="I49:L49"/>
    <mergeCell ref="E8:F8"/>
    <mergeCell ref="I8:J8"/>
  </mergeCells>
  <printOptions horizontalCentered="1"/>
  <pageMargins left="0.48" right="0.44" top="0.42" bottom="0" header="0.31496062992125984" footer="0.31496062992125984"/>
  <pageSetup fitToHeight="1" fitToWidth="1" horizontalDpi="600" verticalDpi="600" orientation="landscape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view="pageBreakPreview" zoomScale="115" zoomScaleSheetLayoutView="115" zoomScalePageLayoutView="0" workbookViewId="0" topLeftCell="F13">
      <selection activeCell="U26" sqref="U26:W26"/>
    </sheetView>
  </sheetViews>
  <sheetFormatPr defaultColWidth="9.140625" defaultRowHeight="12.75"/>
  <cols>
    <col min="1" max="1" width="4.7109375" style="241" customWidth="1"/>
    <col min="2" max="2" width="29.57421875" style="241" customWidth="1"/>
    <col min="3" max="8" width="7.8515625" style="241" customWidth="1"/>
    <col min="9" max="9" width="8.8515625" style="241" customWidth="1"/>
    <col min="10" max="11" width="7.8515625" style="241" customWidth="1"/>
    <col min="12" max="12" width="8.57421875" style="241" customWidth="1"/>
    <col min="13" max="17" width="8.00390625" style="241" customWidth="1"/>
    <col min="18" max="18" width="10.57421875" style="241" customWidth="1"/>
    <col min="19" max="20" width="8.00390625" style="241" customWidth="1"/>
    <col min="21" max="21" width="8.57421875" style="241" bestFit="1" customWidth="1"/>
    <col min="22" max="22" width="8.00390625" style="241" customWidth="1"/>
    <col min="23" max="23" width="8.7109375" style="241" bestFit="1" customWidth="1"/>
    <col min="24" max="24" width="5.8515625" style="241" customWidth="1"/>
    <col min="25" max="25" width="7.140625" style="241" customWidth="1"/>
    <col min="26" max="26" width="7.28125" style="241" customWidth="1"/>
    <col min="27" max="16384" width="9.140625" style="241" customWidth="1"/>
  </cols>
  <sheetData>
    <row r="1" spans="15:21" ht="15">
      <c r="O1" s="939" t="s">
        <v>549</v>
      </c>
      <c r="P1" s="939"/>
      <c r="Q1" s="939"/>
      <c r="R1" s="939"/>
      <c r="S1" s="939"/>
      <c r="T1" s="939"/>
      <c r="U1" s="939"/>
    </row>
    <row r="2" spans="1:23" ht="15.75">
      <c r="A2" s="953" t="s">
        <v>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</row>
    <row r="3" spans="6:21" ht="15.75">
      <c r="F3" s="84"/>
      <c r="G3" s="84"/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3" ht="18">
      <c r="A4" s="954" t="s">
        <v>695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</row>
    <row r="6" spans="1:23" ht="15.75">
      <c r="A6" s="955" t="s">
        <v>743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</row>
    <row r="8" spans="1:2" ht="12.75">
      <c r="A8" s="839" t="s">
        <v>665</v>
      </c>
      <c r="B8" s="839"/>
    </row>
    <row r="9" spans="1:23" ht="18">
      <c r="A9" s="86"/>
      <c r="B9" s="86"/>
      <c r="V9" s="952" t="s">
        <v>248</v>
      </c>
      <c r="W9" s="952"/>
    </row>
    <row r="10" spans="1:249" ht="12.75" customHeight="1">
      <c r="A10" s="956" t="s">
        <v>2</v>
      </c>
      <c r="B10" s="956" t="s">
        <v>104</v>
      </c>
      <c r="C10" s="943" t="s">
        <v>21</v>
      </c>
      <c r="D10" s="944"/>
      <c r="E10" s="944"/>
      <c r="F10" s="944"/>
      <c r="G10" s="944"/>
      <c r="H10" s="944"/>
      <c r="I10" s="944"/>
      <c r="J10" s="944"/>
      <c r="K10" s="945"/>
      <c r="L10" s="943" t="s">
        <v>22</v>
      </c>
      <c r="M10" s="944"/>
      <c r="N10" s="944"/>
      <c r="O10" s="944"/>
      <c r="P10" s="944"/>
      <c r="Q10" s="944"/>
      <c r="R10" s="944"/>
      <c r="S10" s="944"/>
      <c r="T10" s="945"/>
      <c r="U10" s="946" t="s">
        <v>137</v>
      </c>
      <c r="V10" s="947"/>
      <c r="W10" s="948"/>
      <c r="X10" s="88"/>
      <c r="Y10" s="88"/>
      <c r="Z10" s="88"/>
      <c r="AA10" s="88"/>
      <c r="AB10" s="88"/>
      <c r="AC10" s="89"/>
      <c r="AD10" s="90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</row>
    <row r="11" spans="1:249" ht="12.75" customHeight="1">
      <c r="A11" s="957"/>
      <c r="B11" s="957"/>
      <c r="C11" s="940" t="s">
        <v>171</v>
      </c>
      <c r="D11" s="941"/>
      <c r="E11" s="942"/>
      <c r="F11" s="940" t="s">
        <v>172</v>
      </c>
      <c r="G11" s="941"/>
      <c r="H11" s="942"/>
      <c r="I11" s="940" t="s">
        <v>16</v>
      </c>
      <c r="J11" s="941"/>
      <c r="K11" s="942"/>
      <c r="L11" s="940" t="s">
        <v>171</v>
      </c>
      <c r="M11" s="941"/>
      <c r="N11" s="942"/>
      <c r="O11" s="940" t="s">
        <v>172</v>
      </c>
      <c r="P11" s="941"/>
      <c r="Q11" s="942"/>
      <c r="R11" s="940" t="s">
        <v>16</v>
      </c>
      <c r="S11" s="941"/>
      <c r="T11" s="942"/>
      <c r="U11" s="949"/>
      <c r="V11" s="950"/>
      <c r="W11" s="951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</row>
    <row r="12" spans="1:249" ht="12.75">
      <c r="A12" s="87"/>
      <c r="B12" s="87"/>
      <c r="C12" s="188" t="s">
        <v>249</v>
      </c>
      <c r="D12" s="189" t="s">
        <v>39</v>
      </c>
      <c r="E12" s="190" t="s">
        <v>40</v>
      </c>
      <c r="F12" s="188" t="s">
        <v>249</v>
      </c>
      <c r="G12" s="189" t="s">
        <v>39</v>
      </c>
      <c r="H12" s="190" t="s">
        <v>40</v>
      </c>
      <c r="I12" s="188" t="s">
        <v>249</v>
      </c>
      <c r="J12" s="189" t="s">
        <v>39</v>
      </c>
      <c r="K12" s="190" t="s">
        <v>40</v>
      </c>
      <c r="L12" s="188" t="s">
        <v>249</v>
      </c>
      <c r="M12" s="189" t="s">
        <v>39</v>
      </c>
      <c r="N12" s="190" t="s">
        <v>40</v>
      </c>
      <c r="O12" s="188" t="s">
        <v>249</v>
      </c>
      <c r="P12" s="189" t="s">
        <v>39</v>
      </c>
      <c r="Q12" s="190" t="s">
        <v>40</v>
      </c>
      <c r="R12" s="188" t="s">
        <v>249</v>
      </c>
      <c r="S12" s="189" t="s">
        <v>39</v>
      </c>
      <c r="T12" s="190" t="s">
        <v>40</v>
      </c>
      <c r="U12" s="87" t="s">
        <v>249</v>
      </c>
      <c r="V12" s="87" t="s">
        <v>39</v>
      </c>
      <c r="W12" s="87" t="s">
        <v>40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</row>
    <row r="13" spans="1:249" ht="12.75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7</v>
      </c>
      <c r="G13" s="87">
        <v>8</v>
      </c>
      <c r="H13" s="87">
        <v>9</v>
      </c>
      <c r="I13" s="87">
        <v>11</v>
      </c>
      <c r="J13" s="87">
        <v>12</v>
      </c>
      <c r="K13" s="87">
        <v>13</v>
      </c>
      <c r="L13" s="87">
        <v>15</v>
      </c>
      <c r="M13" s="87">
        <v>16</v>
      </c>
      <c r="N13" s="87">
        <v>17</v>
      </c>
      <c r="O13" s="87">
        <v>19</v>
      </c>
      <c r="P13" s="87">
        <v>20</v>
      </c>
      <c r="Q13" s="87">
        <v>21</v>
      </c>
      <c r="R13" s="87">
        <v>23</v>
      </c>
      <c r="S13" s="87">
        <v>24</v>
      </c>
      <c r="T13" s="87">
        <v>25</v>
      </c>
      <c r="U13" s="87">
        <v>27</v>
      </c>
      <c r="V13" s="87">
        <v>28</v>
      </c>
      <c r="W13" s="87">
        <v>29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</row>
    <row r="14" spans="1:249" ht="12.75" customHeight="1">
      <c r="A14" s="958" t="s">
        <v>241</v>
      </c>
      <c r="B14" s="959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92"/>
      <c r="V14" s="93"/>
      <c r="W14" s="93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</row>
    <row r="15" spans="1:23" ht="12.75">
      <c r="A15" s="94">
        <v>1</v>
      </c>
      <c r="B15" s="95" t="s">
        <v>122</v>
      </c>
      <c r="C15" s="321">
        <f>1075656*225*0.0001*3180/100000</f>
        <v>769.6318680000002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f aca="true" t="shared" si="0" ref="I15:K19">C15+F15</f>
        <v>769.6318680000002</v>
      </c>
      <c r="J15" s="321">
        <f t="shared" si="0"/>
        <v>0</v>
      </c>
      <c r="K15" s="321">
        <f t="shared" si="0"/>
        <v>0</v>
      </c>
      <c r="L15" s="321">
        <f>((654000*225)+(1765*285))*0.00015*3180/100000</f>
        <v>704.30492925</v>
      </c>
      <c r="M15" s="321">
        <v>0</v>
      </c>
      <c r="N15" s="321">
        <v>0</v>
      </c>
      <c r="O15" s="321">
        <v>0</v>
      </c>
      <c r="P15" s="321">
        <v>0</v>
      </c>
      <c r="Q15" s="321">
        <v>0</v>
      </c>
      <c r="R15" s="321">
        <f aca="true" t="shared" si="1" ref="R15:T19">L15+O15</f>
        <v>704.30492925</v>
      </c>
      <c r="S15" s="321">
        <f t="shared" si="1"/>
        <v>0</v>
      </c>
      <c r="T15" s="321">
        <f t="shared" si="1"/>
        <v>0</v>
      </c>
      <c r="U15" s="321">
        <f>I15+R15</f>
        <v>1473.9367972500002</v>
      </c>
      <c r="V15" s="321">
        <f aca="true" t="shared" si="2" ref="V15:V23">J15+S15</f>
        <v>0</v>
      </c>
      <c r="W15" s="321">
        <f aca="true" t="shared" si="3" ref="W15:W23">K15+T15</f>
        <v>0</v>
      </c>
    </row>
    <row r="16" spans="1:23" ht="12.75">
      <c r="A16" s="94">
        <v>2</v>
      </c>
      <c r="B16" s="96" t="s">
        <v>475</v>
      </c>
      <c r="C16" s="321">
        <f>((1075656*225*2.61)/100000)*71.46%</f>
        <v>4513.978033955999</v>
      </c>
      <c r="D16" s="321">
        <f>((1075656*225*2.61)/100000)*18.75%</f>
        <v>1184.39809875</v>
      </c>
      <c r="E16" s="321">
        <f>((1075656*225*2.61)/100000)*9.79%</f>
        <v>618.413727294</v>
      </c>
      <c r="F16" s="321">
        <f>((1075656*225*1.74)/100000)*71.46%</f>
        <v>3009.3186893039992</v>
      </c>
      <c r="G16" s="321">
        <f>((1075656*225*1.74)/100000)*18.75%</f>
        <v>789.5987324999999</v>
      </c>
      <c r="H16" s="321">
        <f>((1075656*225*1.74)/100000)*9.79%</f>
        <v>412.27581819599993</v>
      </c>
      <c r="I16" s="321">
        <f t="shared" si="0"/>
        <v>7523.2967232599985</v>
      </c>
      <c r="J16" s="321">
        <f t="shared" si="0"/>
        <v>1973.9968312499998</v>
      </c>
      <c r="K16" s="321">
        <f t="shared" si="0"/>
        <v>1030.68954549</v>
      </c>
      <c r="L16" s="321">
        <f>((((654000*225)+(1765*285))*3.91)/100000)*71.46%</f>
        <v>4125.552500101499</v>
      </c>
      <c r="M16" s="321">
        <f>((((654000*225)+(1765*285))*3.91)/100000)*18.75%</f>
        <v>1082.4812395312501</v>
      </c>
      <c r="N16" s="321">
        <f>((((654000*225)+(1765*285))*3.91)/100000)*9.79%</f>
        <v>565.19953786725</v>
      </c>
      <c r="O16" s="321">
        <f>((((654000*225)+(1765*285))*2.6)/100000)*71.46%</f>
        <v>2743.3341432899997</v>
      </c>
      <c r="P16" s="321">
        <f>((((654000*225)+(1765*285))*2.6)/100000)*18.75%</f>
        <v>719.808496875</v>
      </c>
      <c r="Q16" s="321">
        <f>((((654000*225)+(1765*285))*2.6)/100000)*9.79%</f>
        <v>375.83600983499997</v>
      </c>
      <c r="R16" s="321">
        <f t="shared" si="1"/>
        <v>6868.886643391499</v>
      </c>
      <c r="S16" s="321">
        <f t="shared" si="1"/>
        <v>1802.28973640625</v>
      </c>
      <c r="T16" s="321">
        <f t="shared" si="1"/>
        <v>941.0355477022499</v>
      </c>
      <c r="U16" s="321">
        <f aca="true" t="shared" si="4" ref="U16:U23">I16+R16</f>
        <v>14392.183366651498</v>
      </c>
      <c r="V16" s="321">
        <f t="shared" si="2"/>
        <v>3776.2865676562496</v>
      </c>
      <c r="W16" s="321">
        <f t="shared" si="3"/>
        <v>1971.72509319225</v>
      </c>
    </row>
    <row r="17" spans="1:23" ht="25.5">
      <c r="A17" s="94">
        <v>3</v>
      </c>
      <c r="B17" s="96" t="s">
        <v>126</v>
      </c>
      <c r="C17" s="321">
        <f>((34516)*600*10/100000)*71.46%</f>
        <v>1479.9080159999999</v>
      </c>
      <c r="D17" s="321">
        <f>((34516)*600*10/100000)*18.75%</f>
        <v>388.305</v>
      </c>
      <c r="E17" s="321">
        <f>((34516)*600*10/100000)*9.79%</f>
        <v>202.74698399999997</v>
      </c>
      <c r="F17" s="321">
        <f>(34516*400*10/100000)*71.46%</f>
        <v>986.605344</v>
      </c>
      <c r="G17" s="321">
        <f>((34516)*400*10/100000)*18.75%</f>
        <v>258.87</v>
      </c>
      <c r="H17" s="321">
        <f>((34516)*400*10/100000)*9.79%</f>
        <v>135.16465599999998</v>
      </c>
      <c r="I17" s="321">
        <f t="shared" si="0"/>
        <v>2466.51336</v>
      </c>
      <c r="J17" s="321">
        <f t="shared" si="0"/>
        <v>647.175</v>
      </c>
      <c r="K17" s="321">
        <f t="shared" si="0"/>
        <v>337.9116399999999</v>
      </c>
      <c r="L17" s="321">
        <f>(((19716)*600)*10/100000)*71.46%</f>
        <v>845.3432159999999</v>
      </c>
      <c r="M17" s="321">
        <f>(((19716)*600)*10/100000)*18.75%</f>
        <v>221.805</v>
      </c>
      <c r="N17" s="321">
        <f>(((19716)*600*10)/100000)*9.79%</f>
        <v>115.81178399999999</v>
      </c>
      <c r="O17" s="321">
        <f>(((19716)*400)*10/100000)*71.46%</f>
        <v>563.5621439999999</v>
      </c>
      <c r="P17" s="321">
        <f>(((19716)*400)*10/100000)*18.75%</f>
        <v>147.87</v>
      </c>
      <c r="Q17" s="321">
        <f>(((19716)*400)*10/100000)*9.79%</f>
        <v>77.20785599999999</v>
      </c>
      <c r="R17" s="321">
        <f t="shared" si="1"/>
        <v>1408.9053599999997</v>
      </c>
      <c r="S17" s="321">
        <f t="shared" si="1"/>
        <v>369.675</v>
      </c>
      <c r="T17" s="321">
        <f t="shared" si="1"/>
        <v>193.01963999999998</v>
      </c>
      <c r="U17" s="321">
        <f t="shared" si="4"/>
        <v>3875.4187199999997</v>
      </c>
      <c r="V17" s="321">
        <f t="shared" si="2"/>
        <v>1016.8499999999999</v>
      </c>
      <c r="W17" s="321">
        <f t="shared" si="3"/>
        <v>530.9312799999999</v>
      </c>
    </row>
    <row r="18" spans="1:23" ht="12.75">
      <c r="A18" s="94">
        <v>4</v>
      </c>
      <c r="B18" s="96" t="s">
        <v>124</v>
      </c>
      <c r="C18" s="321">
        <f>1075656*225*0.0001*1113/100000</f>
        <v>269.3711538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f t="shared" si="0"/>
        <v>269.3711538</v>
      </c>
      <c r="J18" s="321">
        <f t="shared" si="0"/>
        <v>0</v>
      </c>
      <c r="K18" s="321">
        <f t="shared" si="0"/>
        <v>0</v>
      </c>
      <c r="L18" s="321">
        <f>((654000*225)+(1765*285))*0.00015*1113/100000</f>
        <v>246.50672523749995</v>
      </c>
      <c r="M18" s="321">
        <v>0</v>
      </c>
      <c r="N18" s="321">
        <v>0</v>
      </c>
      <c r="O18" s="321">
        <v>0</v>
      </c>
      <c r="P18" s="321">
        <v>0</v>
      </c>
      <c r="Q18" s="321">
        <v>0</v>
      </c>
      <c r="R18" s="321">
        <f t="shared" si="1"/>
        <v>246.50672523749995</v>
      </c>
      <c r="S18" s="321">
        <f t="shared" si="1"/>
        <v>0</v>
      </c>
      <c r="T18" s="321">
        <f t="shared" si="1"/>
        <v>0</v>
      </c>
      <c r="U18" s="321">
        <f t="shared" si="4"/>
        <v>515.8778790375</v>
      </c>
      <c r="V18" s="321">
        <f t="shared" si="2"/>
        <v>0</v>
      </c>
      <c r="W18" s="321">
        <f t="shared" si="3"/>
        <v>0</v>
      </c>
    </row>
    <row r="19" spans="1:23" ht="12.75">
      <c r="A19" s="94">
        <v>5</v>
      </c>
      <c r="B19" s="95" t="s">
        <v>125</v>
      </c>
      <c r="C19" s="321">
        <f>(SUM(C15:E18)*2.8%)</f>
        <v>263.94908069039997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f t="shared" si="0"/>
        <v>263.94908069039997</v>
      </c>
      <c r="J19" s="321">
        <f t="shared" si="0"/>
        <v>0</v>
      </c>
      <c r="K19" s="321">
        <f t="shared" si="0"/>
        <v>0</v>
      </c>
      <c r="L19" s="321">
        <f>(SUM(L15:N18)*2.8%)</f>
        <v>221.39613809565</v>
      </c>
      <c r="M19" s="321">
        <v>0</v>
      </c>
      <c r="N19" s="321">
        <v>0</v>
      </c>
      <c r="O19" s="321">
        <v>0</v>
      </c>
      <c r="P19" s="321">
        <v>0</v>
      </c>
      <c r="Q19" s="321">
        <v>0</v>
      </c>
      <c r="R19" s="321">
        <f t="shared" si="1"/>
        <v>221.39613809565</v>
      </c>
      <c r="S19" s="321">
        <f t="shared" si="1"/>
        <v>0</v>
      </c>
      <c r="T19" s="321">
        <f t="shared" si="1"/>
        <v>0</v>
      </c>
      <c r="U19" s="321">
        <f t="shared" si="4"/>
        <v>485.34521878604994</v>
      </c>
      <c r="V19" s="321">
        <f t="shared" si="2"/>
        <v>0</v>
      </c>
      <c r="W19" s="321">
        <f t="shared" si="3"/>
        <v>0</v>
      </c>
    </row>
    <row r="20" spans="1:23" ht="12.75" customHeight="1">
      <c r="A20" s="958" t="s">
        <v>242</v>
      </c>
      <c r="B20" s="959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321">
        <f t="shared" si="4"/>
        <v>0</v>
      </c>
      <c r="V20" s="321">
        <f t="shared" si="2"/>
        <v>0</v>
      </c>
      <c r="W20" s="321">
        <f t="shared" si="3"/>
        <v>0</v>
      </c>
    </row>
    <row r="21" spans="1:23" ht="12.75">
      <c r="A21" s="94">
        <v>6</v>
      </c>
      <c r="B21" s="95" t="s">
        <v>127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f aca="true" t="shared" si="5" ref="I21:J23">C21+F21</f>
        <v>0</v>
      </c>
      <c r="J21" s="321">
        <f t="shared" si="5"/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321">
        <v>0</v>
      </c>
      <c r="R21" s="321">
        <f aca="true" t="shared" si="6" ref="R21:T23">L21+O21</f>
        <v>0</v>
      </c>
      <c r="S21" s="321">
        <f t="shared" si="6"/>
        <v>0</v>
      </c>
      <c r="T21" s="321">
        <f t="shared" si="6"/>
        <v>0</v>
      </c>
      <c r="U21" s="321">
        <f t="shared" si="4"/>
        <v>0</v>
      </c>
      <c r="V21" s="321">
        <f t="shared" si="2"/>
        <v>0</v>
      </c>
      <c r="W21" s="321">
        <f t="shared" si="3"/>
        <v>0</v>
      </c>
    </row>
    <row r="22" spans="1:23" ht="12.75">
      <c r="A22" s="94">
        <v>7</v>
      </c>
      <c r="B22" s="95" t="s">
        <v>128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f t="shared" si="5"/>
        <v>0</v>
      </c>
      <c r="J22" s="321">
        <f t="shared" si="5"/>
        <v>0</v>
      </c>
      <c r="K22" s="321">
        <f>E22+H22</f>
        <v>0</v>
      </c>
      <c r="L22" s="321">
        <f>'AT29_Replacement KD '!T45+'AT29_A_Replacement KD'!T45</f>
        <v>1425.78</v>
      </c>
      <c r="M22" s="321">
        <v>0</v>
      </c>
      <c r="N22" s="321">
        <v>0</v>
      </c>
      <c r="O22" s="321">
        <f>'AT29_Replacement KD '!U45+'AT29_A_Replacement KD'!U45</f>
        <v>950.5200000000001</v>
      </c>
      <c r="P22" s="321">
        <v>0</v>
      </c>
      <c r="Q22" s="321">
        <v>0</v>
      </c>
      <c r="R22" s="321">
        <f t="shared" si="6"/>
        <v>2376.3</v>
      </c>
      <c r="S22" s="321">
        <f t="shared" si="6"/>
        <v>0</v>
      </c>
      <c r="T22" s="321">
        <f t="shared" si="6"/>
        <v>0</v>
      </c>
      <c r="U22" s="321">
        <f t="shared" si="4"/>
        <v>2376.3</v>
      </c>
      <c r="V22" s="321">
        <f t="shared" si="2"/>
        <v>0</v>
      </c>
      <c r="W22" s="321">
        <f t="shared" si="3"/>
        <v>0</v>
      </c>
    </row>
    <row r="23" spans="1:23" ht="12.75">
      <c r="A23" s="94">
        <v>8</v>
      </c>
      <c r="B23" s="95" t="s">
        <v>839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f t="shared" si="5"/>
        <v>0</v>
      </c>
      <c r="J23" s="321">
        <f t="shared" si="5"/>
        <v>0</v>
      </c>
      <c r="K23" s="321">
        <f>E23+H23</f>
        <v>0</v>
      </c>
      <c r="L23" s="321">
        <v>0</v>
      </c>
      <c r="M23" s="321">
        <v>0</v>
      </c>
      <c r="N23" s="321">
        <v>0</v>
      </c>
      <c r="O23" s="321">
        <v>0</v>
      </c>
      <c r="P23" s="321">
        <v>0</v>
      </c>
      <c r="Q23" s="321">
        <v>0</v>
      </c>
      <c r="R23" s="321">
        <f t="shared" si="6"/>
        <v>0</v>
      </c>
      <c r="S23" s="321">
        <f t="shared" si="6"/>
        <v>0</v>
      </c>
      <c r="T23" s="321">
        <f t="shared" si="6"/>
        <v>0</v>
      </c>
      <c r="U23" s="321">
        <f t="shared" si="4"/>
        <v>0</v>
      </c>
      <c r="V23" s="321">
        <f t="shared" si="2"/>
        <v>0</v>
      </c>
      <c r="W23" s="321">
        <f t="shared" si="3"/>
        <v>0</v>
      </c>
    </row>
    <row r="24" spans="1:23" ht="12.75">
      <c r="A24" s="94"/>
      <c r="B24" s="95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</row>
    <row r="25" spans="1:23" ht="12.75">
      <c r="A25" s="94">
        <v>9</v>
      </c>
      <c r="B25" s="95" t="s">
        <v>840</v>
      </c>
      <c r="C25" s="321">
        <f>(SUM(C15:E18,C22:E22)*5%)</f>
        <v>471.33764408999997</v>
      </c>
      <c r="D25" s="321">
        <v>0</v>
      </c>
      <c r="E25" s="321">
        <v>0</v>
      </c>
      <c r="F25" s="321">
        <f>(SUM(F15:H18,F22:H22)*5%)</f>
        <v>279.5916619999999</v>
      </c>
      <c r="G25" s="321">
        <v>0</v>
      </c>
      <c r="H25" s="321">
        <v>0</v>
      </c>
      <c r="I25" s="321">
        <f>C25+F25</f>
        <v>750.92930609</v>
      </c>
      <c r="J25" s="321">
        <f>D25+G25</f>
        <v>0</v>
      </c>
      <c r="K25" s="321">
        <f>E25+H25</f>
        <v>0</v>
      </c>
      <c r="L25" s="321">
        <f>(SUM(L15:N18,L22:N22)*5%)</f>
        <v>466.63924659937504</v>
      </c>
      <c r="M25" s="321">
        <v>0</v>
      </c>
      <c r="N25" s="321">
        <v>0</v>
      </c>
      <c r="O25" s="321">
        <f>(SUM(O15:Q18,O22:Q22)*5%)</f>
        <v>278.9069325</v>
      </c>
      <c r="P25" s="321">
        <v>0</v>
      </c>
      <c r="Q25" s="321">
        <v>0</v>
      </c>
      <c r="R25" s="321">
        <f>L25+O25</f>
        <v>745.546179099375</v>
      </c>
      <c r="S25" s="321">
        <f>M25+P25</f>
        <v>0</v>
      </c>
      <c r="T25" s="321">
        <f>N25+Q25</f>
        <v>0</v>
      </c>
      <c r="U25" s="321">
        <f>I25+R25</f>
        <v>1496.475485189375</v>
      </c>
      <c r="V25" s="321">
        <f>J25+S25</f>
        <v>0</v>
      </c>
      <c r="W25" s="321">
        <f>K25+T25</f>
        <v>0</v>
      </c>
    </row>
    <row r="26" spans="1:23" ht="12.75">
      <c r="A26" s="94" t="s">
        <v>16</v>
      </c>
      <c r="B26" s="95"/>
      <c r="C26" s="322">
        <f aca="true" t="shared" si="7" ref="C26:T26">SUM(C15:C23)</f>
        <v>7296.838152446399</v>
      </c>
      <c r="D26" s="322">
        <f t="shared" si="7"/>
        <v>1572.70309875</v>
      </c>
      <c r="E26" s="322">
        <f t="shared" si="7"/>
        <v>821.160711294</v>
      </c>
      <c r="F26" s="322">
        <f t="shared" si="7"/>
        <v>3995.9240333039993</v>
      </c>
      <c r="G26" s="322">
        <f t="shared" si="7"/>
        <v>1048.4687325</v>
      </c>
      <c r="H26" s="322">
        <f t="shared" si="7"/>
        <v>547.440474196</v>
      </c>
      <c r="I26" s="322">
        <f>SUM(I15:I23)</f>
        <v>11292.7621857504</v>
      </c>
      <c r="J26" s="322">
        <f t="shared" si="7"/>
        <v>2621.1718312499997</v>
      </c>
      <c r="K26" s="322">
        <f t="shared" si="7"/>
        <v>1368.6011854899998</v>
      </c>
      <c r="L26" s="322">
        <f t="shared" si="7"/>
        <v>7568.883508684649</v>
      </c>
      <c r="M26" s="322">
        <f t="shared" si="7"/>
        <v>1304.2862395312502</v>
      </c>
      <c r="N26" s="322">
        <f t="shared" si="7"/>
        <v>681.01132186725</v>
      </c>
      <c r="O26" s="322">
        <f t="shared" si="7"/>
        <v>4257.41628729</v>
      </c>
      <c r="P26" s="322">
        <f t="shared" si="7"/>
        <v>867.678496875</v>
      </c>
      <c r="Q26" s="322">
        <f t="shared" si="7"/>
        <v>453.04386583499996</v>
      </c>
      <c r="R26" s="322">
        <f t="shared" si="7"/>
        <v>11826.29979597465</v>
      </c>
      <c r="S26" s="322">
        <f t="shared" si="7"/>
        <v>2171.9647364062503</v>
      </c>
      <c r="T26" s="322">
        <f t="shared" si="7"/>
        <v>1134.05518770225</v>
      </c>
      <c r="U26" s="322">
        <f>SUM(U15:U25)</f>
        <v>24615.537466914422</v>
      </c>
      <c r="V26" s="322">
        <f>SUM(V15:V25)</f>
        <v>4793.136567656249</v>
      </c>
      <c r="W26" s="322">
        <f>SUM(W15:W25)</f>
        <v>2502.6563731922497</v>
      </c>
    </row>
    <row r="27" spans="1:2" ht="12.75">
      <c r="A27" s="243"/>
      <c r="B27" s="243"/>
    </row>
    <row r="28" ht="12.75">
      <c r="U28" s="399"/>
    </row>
    <row r="30" ht="12.75">
      <c r="D30" s="241" t="s">
        <v>694</v>
      </c>
    </row>
    <row r="32" spans="18:23" ht="15.75">
      <c r="R32" s="621" t="s">
        <v>860</v>
      </c>
      <c r="S32" s="621"/>
      <c r="T32" s="621"/>
      <c r="U32" s="621"/>
      <c r="V32" s="621"/>
      <c r="W32" s="621"/>
    </row>
    <row r="33" spans="18:23" ht="15.75">
      <c r="R33" s="621" t="s">
        <v>653</v>
      </c>
      <c r="S33" s="621"/>
      <c r="T33" s="621"/>
      <c r="U33" s="621"/>
      <c r="V33" s="621"/>
      <c r="W33" s="621"/>
    </row>
  </sheetData>
  <sheetProtection/>
  <mergeCells count="21">
    <mergeCell ref="R32:W32"/>
    <mergeCell ref="R33:W33"/>
    <mergeCell ref="A20:B20"/>
    <mergeCell ref="A14:B14"/>
    <mergeCell ref="V9:W9"/>
    <mergeCell ref="A2:W2"/>
    <mergeCell ref="A4:W4"/>
    <mergeCell ref="A6:W6"/>
    <mergeCell ref="A10:A11"/>
    <mergeCell ref="B10:B11"/>
    <mergeCell ref="C10:K10"/>
    <mergeCell ref="O1:U1"/>
    <mergeCell ref="A8:B8"/>
    <mergeCell ref="C11:E11"/>
    <mergeCell ref="F11:H11"/>
    <mergeCell ref="I11:K11"/>
    <mergeCell ref="L11:N11"/>
    <mergeCell ref="L10:T10"/>
    <mergeCell ref="U10:W11"/>
    <mergeCell ref="R11:T11"/>
    <mergeCell ref="O11:Q11"/>
  </mergeCells>
  <printOptions horizontalCentered="1"/>
  <pageMargins left="0.4" right="0.44" top="0.54" bottom="0" header="0.31496062992125984" footer="0.31496062992125984"/>
  <pageSetup fitToHeight="1" fitToWidth="1" horizontalDpi="600" verticalDpi="600" orientation="landscape" paperSize="9" scale="67" r:id="rId1"/>
  <colBreaks count="1" manualBreakCount="1">
    <brk id="23" max="6553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2"/>
  <sheetViews>
    <sheetView view="pageBreakPreview" zoomScale="55" zoomScaleNormal="70" zoomScaleSheetLayoutView="55" zoomScalePageLayoutView="0" workbookViewId="0" topLeftCell="A1">
      <selection activeCell="P23" sqref="P23"/>
    </sheetView>
  </sheetViews>
  <sheetFormatPr defaultColWidth="9.140625" defaultRowHeight="12.75"/>
  <cols>
    <col min="1" max="1" width="7.421875" style="193" customWidth="1"/>
    <col min="2" max="2" width="17.140625" style="193" customWidth="1"/>
    <col min="3" max="3" width="11.00390625" style="193" customWidth="1"/>
    <col min="4" max="4" width="10.00390625" style="193" customWidth="1"/>
    <col min="5" max="5" width="11.8515625" style="193" customWidth="1"/>
    <col min="6" max="6" width="12.140625" style="193" customWidth="1"/>
    <col min="7" max="7" width="13.28125" style="193" customWidth="1"/>
    <col min="8" max="8" width="14.57421875" style="193" customWidth="1"/>
    <col min="9" max="9" width="12.7109375" style="193" customWidth="1"/>
    <col min="10" max="10" width="14.00390625" style="193" customWidth="1"/>
    <col min="11" max="11" width="10.8515625" style="193" customWidth="1"/>
    <col min="12" max="12" width="10.7109375" style="193" customWidth="1"/>
    <col min="13" max="16384" width="9.140625" style="193" customWidth="1"/>
  </cols>
  <sheetData>
    <row r="1" spans="5:10" ht="12.75">
      <c r="E1" s="960"/>
      <c r="F1" s="960"/>
      <c r="G1" s="960"/>
      <c r="H1" s="960"/>
      <c r="I1" s="960"/>
      <c r="J1" s="138" t="s">
        <v>590</v>
      </c>
    </row>
    <row r="2" spans="1:12" ht="1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</row>
    <row r="3" spans="1:12" ht="20.25">
      <c r="A3" s="623" t="s">
        <v>695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ht="14.25" customHeight="1"/>
    <row r="5" spans="1:12" ht="19.5" customHeight="1">
      <c r="A5" s="963" t="s">
        <v>744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1:10" ht="13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ht="0.75" customHeight="1"/>
    <row r="8" spans="1:10" ht="12.75">
      <c r="A8" s="961" t="s">
        <v>668</v>
      </c>
      <c r="B8" s="961"/>
      <c r="C8" s="192"/>
      <c r="H8" s="962" t="s">
        <v>841</v>
      </c>
      <c r="I8" s="962"/>
      <c r="J8" s="962"/>
    </row>
    <row r="9" spans="1:16" ht="12.75">
      <c r="A9" s="790" t="s">
        <v>2</v>
      </c>
      <c r="B9" s="782" t="s">
        <v>33</v>
      </c>
      <c r="C9" s="966" t="s">
        <v>591</v>
      </c>
      <c r="D9" s="966"/>
      <c r="E9" s="966" t="s">
        <v>123</v>
      </c>
      <c r="F9" s="966"/>
      <c r="G9" s="966" t="s">
        <v>592</v>
      </c>
      <c r="H9" s="966"/>
      <c r="I9" s="966" t="s">
        <v>124</v>
      </c>
      <c r="J9" s="966"/>
      <c r="K9" s="966" t="s">
        <v>125</v>
      </c>
      <c r="L9" s="966"/>
      <c r="O9" s="139"/>
      <c r="P9" s="140"/>
    </row>
    <row r="10" spans="1:12" ht="53.25" customHeight="1">
      <c r="A10" s="791"/>
      <c r="B10" s="782"/>
      <c r="C10" s="179" t="s">
        <v>593</v>
      </c>
      <c r="D10" s="179" t="s">
        <v>594</v>
      </c>
      <c r="E10" s="179" t="s">
        <v>595</v>
      </c>
      <c r="F10" s="179" t="s">
        <v>596</v>
      </c>
      <c r="G10" s="179" t="s">
        <v>595</v>
      </c>
      <c r="H10" s="179" t="s">
        <v>596</v>
      </c>
      <c r="I10" s="179" t="s">
        <v>593</v>
      </c>
      <c r="J10" s="179" t="s">
        <v>594</v>
      </c>
      <c r="K10" s="179" t="s">
        <v>593</v>
      </c>
      <c r="L10" s="179" t="s">
        <v>594</v>
      </c>
    </row>
    <row r="11" spans="1:12" ht="12.75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  <c r="H11" s="179">
        <v>8</v>
      </c>
      <c r="I11" s="179">
        <v>9</v>
      </c>
      <c r="J11" s="179">
        <v>10</v>
      </c>
      <c r="K11" s="179">
        <v>11</v>
      </c>
      <c r="L11" s="179">
        <v>12</v>
      </c>
    </row>
    <row r="12" spans="1:12" ht="12.75">
      <c r="A12" s="201">
        <v>1</v>
      </c>
      <c r="B12" s="201" t="s">
        <v>633</v>
      </c>
      <c r="C12" s="967" t="s">
        <v>638</v>
      </c>
      <c r="D12" s="968"/>
      <c r="E12" s="968"/>
      <c r="F12" s="968"/>
      <c r="G12" s="968"/>
      <c r="H12" s="968"/>
      <c r="I12" s="968"/>
      <c r="J12" s="968"/>
      <c r="K12" s="968"/>
      <c r="L12" s="969"/>
    </row>
    <row r="13" spans="1:12" ht="12.75">
      <c r="A13" s="201">
        <f>A12+1</f>
        <v>2</v>
      </c>
      <c r="B13" s="201" t="s">
        <v>598</v>
      </c>
      <c r="C13" s="970"/>
      <c r="D13" s="971"/>
      <c r="E13" s="971"/>
      <c r="F13" s="971"/>
      <c r="G13" s="971"/>
      <c r="H13" s="971"/>
      <c r="I13" s="971"/>
      <c r="J13" s="971"/>
      <c r="K13" s="971"/>
      <c r="L13" s="972"/>
    </row>
    <row r="14" spans="1:12" ht="12.75">
      <c r="A14" s="201">
        <f aca="true" t="shared" si="0" ref="A14:A44">A13+1</f>
        <v>3</v>
      </c>
      <c r="B14" s="201" t="s">
        <v>634</v>
      </c>
      <c r="C14" s="970"/>
      <c r="D14" s="971"/>
      <c r="E14" s="971"/>
      <c r="F14" s="971"/>
      <c r="G14" s="971"/>
      <c r="H14" s="971"/>
      <c r="I14" s="971"/>
      <c r="J14" s="971"/>
      <c r="K14" s="971"/>
      <c r="L14" s="972"/>
    </row>
    <row r="15" spans="1:12" ht="12.75">
      <c r="A15" s="201">
        <f t="shared" si="0"/>
        <v>4</v>
      </c>
      <c r="B15" s="201" t="s">
        <v>599</v>
      </c>
      <c r="C15" s="970"/>
      <c r="D15" s="971"/>
      <c r="E15" s="971"/>
      <c r="F15" s="971"/>
      <c r="G15" s="971"/>
      <c r="H15" s="971"/>
      <c r="I15" s="971"/>
      <c r="J15" s="971"/>
      <c r="K15" s="971"/>
      <c r="L15" s="972"/>
    </row>
    <row r="16" spans="1:12" ht="12.75">
      <c r="A16" s="201">
        <f t="shared" si="0"/>
        <v>5</v>
      </c>
      <c r="B16" s="201" t="s">
        <v>600</v>
      </c>
      <c r="C16" s="970"/>
      <c r="D16" s="971"/>
      <c r="E16" s="971"/>
      <c r="F16" s="971"/>
      <c r="G16" s="971"/>
      <c r="H16" s="971"/>
      <c r="I16" s="971"/>
      <c r="J16" s="971"/>
      <c r="K16" s="971"/>
      <c r="L16" s="972"/>
    </row>
    <row r="17" spans="1:12" ht="12.75">
      <c r="A17" s="201">
        <f t="shared" si="0"/>
        <v>6</v>
      </c>
      <c r="B17" s="201" t="s">
        <v>601</v>
      </c>
      <c r="C17" s="970"/>
      <c r="D17" s="971"/>
      <c r="E17" s="971"/>
      <c r="F17" s="971"/>
      <c r="G17" s="971"/>
      <c r="H17" s="971"/>
      <c r="I17" s="971"/>
      <c r="J17" s="971"/>
      <c r="K17" s="971"/>
      <c r="L17" s="972"/>
    </row>
    <row r="18" spans="1:12" ht="12.75">
      <c r="A18" s="201">
        <f t="shared" si="0"/>
        <v>7</v>
      </c>
      <c r="B18" s="201" t="s">
        <v>602</v>
      </c>
      <c r="C18" s="970"/>
      <c r="D18" s="971"/>
      <c r="E18" s="971"/>
      <c r="F18" s="971"/>
      <c r="G18" s="971"/>
      <c r="H18" s="971"/>
      <c r="I18" s="971"/>
      <c r="J18" s="971"/>
      <c r="K18" s="971"/>
      <c r="L18" s="972"/>
    </row>
    <row r="19" spans="1:12" ht="12.75">
      <c r="A19" s="201">
        <f t="shared" si="0"/>
        <v>8</v>
      </c>
      <c r="B19" s="201" t="s">
        <v>603</v>
      </c>
      <c r="C19" s="970"/>
      <c r="D19" s="971"/>
      <c r="E19" s="971"/>
      <c r="F19" s="971"/>
      <c r="G19" s="971"/>
      <c r="H19" s="971"/>
      <c r="I19" s="971"/>
      <c r="J19" s="971"/>
      <c r="K19" s="971"/>
      <c r="L19" s="972"/>
    </row>
    <row r="20" spans="1:12" ht="12.75">
      <c r="A20" s="201">
        <f t="shared" si="0"/>
        <v>9</v>
      </c>
      <c r="B20" s="201" t="s">
        <v>604</v>
      </c>
      <c r="C20" s="970"/>
      <c r="D20" s="971"/>
      <c r="E20" s="971"/>
      <c r="F20" s="971"/>
      <c r="G20" s="971"/>
      <c r="H20" s="971"/>
      <c r="I20" s="971"/>
      <c r="J20" s="971"/>
      <c r="K20" s="971"/>
      <c r="L20" s="972"/>
    </row>
    <row r="21" spans="1:12" ht="12.75">
      <c r="A21" s="201">
        <f t="shared" si="0"/>
        <v>10</v>
      </c>
      <c r="B21" s="201" t="s">
        <v>605</v>
      </c>
      <c r="C21" s="970"/>
      <c r="D21" s="971"/>
      <c r="E21" s="971"/>
      <c r="F21" s="971"/>
      <c r="G21" s="971"/>
      <c r="H21" s="971"/>
      <c r="I21" s="971"/>
      <c r="J21" s="971"/>
      <c r="K21" s="971"/>
      <c r="L21" s="972"/>
    </row>
    <row r="22" spans="1:12" ht="12.75">
      <c r="A22" s="201">
        <f t="shared" si="0"/>
        <v>11</v>
      </c>
      <c r="B22" s="201" t="s">
        <v>635</v>
      </c>
      <c r="C22" s="970"/>
      <c r="D22" s="971"/>
      <c r="E22" s="971"/>
      <c r="F22" s="971"/>
      <c r="G22" s="971"/>
      <c r="H22" s="971"/>
      <c r="I22" s="971"/>
      <c r="J22" s="971"/>
      <c r="K22" s="971"/>
      <c r="L22" s="972"/>
    </row>
    <row r="23" spans="1:12" ht="12.75">
      <c r="A23" s="201">
        <f t="shared" si="0"/>
        <v>12</v>
      </c>
      <c r="B23" s="201" t="s">
        <v>606</v>
      </c>
      <c r="C23" s="970"/>
      <c r="D23" s="971"/>
      <c r="E23" s="971"/>
      <c r="F23" s="971"/>
      <c r="G23" s="971"/>
      <c r="H23" s="971"/>
      <c r="I23" s="971"/>
      <c r="J23" s="971"/>
      <c r="K23" s="971"/>
      <c r="L23" s="972"/>
    </row>
    <row r="24" spans="1:12" ht="12.75" customHeight="1">
      <c r="A24" s="201">
        <f t="shared" si="0"/>
        <v>13</v>
      </c>
      <c r="B24" s="201" t="s">
        <v>607</v>
      </c>
      <c r="C24" s="970"/>
      <c r="D24" s="971"/>
      <c r="E24" s="971"/>
      <c r="F24" s="971"/>
      <c r="G24" s="971"/>
      <c r="H24" s="971"/>
      <c r="I24" s="971"/>
      <c r="J24" s="971"/>
      <c r="K24" s="971"/>
      <c r="L24" s="972"/>
    </row>
    <row r="25" spans="1:12" ht="12.75">
      <c r="A25" s="201">
        <f t="shared" si="0"/>
        <v>14</v>
      </c>
      <c r="B25" s="201" t="s">
        <v>636</v>
      </c>
      <c r="C25" s="970"/>
      <c r="D25" s="971"/>
      <c r="E25" s="971"/>
      <c r="F25" s="971"/>
      <c r="G25" s="971"/>
      <c r="H25" s="971"/>
      <c r="I25" s="971"/>
      <c r="J25" s="971"/>
      <c r="K25" s="971"/>
      <c r="L25" s="972"/>
    </row>
    <row r="26" spans="1:12" ht="12.75">
      <c r="A26" s="201">
        <f t="shared" si="0"/>
        <v>15</v>
      </c>
      <c r="B26" s="201" t="s">
        <v>608</v>
      </c>
      <c r="C26" s="970"/>
      <c r="D26" s="971"/>
      <c r="E26" s="971"/>
      <c r="F26" s="971"/>
      <c r="G26" s="971"/>
      <c r="H26" s="971"/>
      <c r="I26" s="971"/>
      <c r="J26" s="971"/>
      <c r="K26" s="971"/>
      <c r="L26" s="972"/>
    </row>
    <row r="27" spans="1:12" ht="12.75">
      <c r="A27" s="201">
        <f t="shared" si="0"/>
        <v>16</v>
      </c>
      <c r="B27" s="201" t="s">
        <v>609</v>
      </c>
      <c r="C27" s="970"/>
      <c r="D27" s="971"/>
      <c r="E27" s="971"/>
      <c r="F27" s="971"/>
      <c r="G27" s="971"/>
      <c r="H27" s="971"/>
      <c r="I27" s="971"/>
      <c r="J27" s="971"/>
      <c r="K27" s="971"/>
      <c r="L27" s="972"/>
    </row>
    <row r="28" spans="1:12" ht="12.75">
      <c r="A28" s="201">
        <f t="shared" si="0"/>
        <v>17</v>
      </c>
      <c r="B28" s="269" t="s">
        <v>757</v>
      </c>
      <c r="C28" s="970"/>
      <c r="D28" s="971"/>
      <c r="E28" s="971"/>
      <c r="F28" s="971"/>
      <c r="G28" s="971"/>
      <c r="H28" s="971"/>
      <c r="I28" s="971"/>
      <c r="J28" s="971"/>
      <c r="K28" s="971"/>
      <c r="L28" s="972"/>
    </row>
    <row r="29" spans="1:12" ht="12.75">
      <c r="A29" s="201">
        <f t="shared" si="0"/>
        <v>18</v>
      </c>
      <c r="B29" s="201" t="s">
        <v>610</v>
      </c>
      <c r="C29" s="970"/>
      <c r="D29" s="971"/>
      <c r="E29" s="971"/>
      <c r="F29" s="971"/>
      <c r="G29" s="971"/>
      <c r="H29" s="971"/>
      <c r="I29" s="971"/>
      <c r="J29" s="971"/>
      <c r="K29" s="971"/>
      <c r="L29" s="972"/>
    </row>
    <row r="30" spans="1:12" ht="12.75">
      <c r="A30" s="201">
        <f t="shared" si="0"/>
        <v>19</v>
      </c>
      <c r="B30" s="201" t="s">
        <v>611</v>
      </c>
      <c r="C30" s="970"/>
      <c r="D30" s="971"/>
      <c r="E30" s="971"/>
      <c r="F30" s="971"/>
      <c r="G30" s="971"/>
      <c r="H30" s="971"/>
      <c r="I30" s="971"/>
      <c r="J30" s="971"/>
      <c r="K30" s="971"/>
      <c r="L30" s="972"/>
    </row>
    <row r="31" spans="1:12" ht="12.75">
      <c r="A31" s="201">
        <f t="shared" si="0"/>
        <v>20</v>
      </c>
      <c r="B31" s="269" t="s">
        <v>756</v>
      </c>
      <c r="C31" s="970"/>
      <c r="D31" s="971"/>
      <c r="E31" s="971"/>
      <c r="F31" s="971"/>
      <c r="G31" s="971"/>
      <c r="H31" s="971"/>
      <c r="I31" s="971"/>
      <c r="J31" s="971"/>
      <c r="K31" s="971"/>
      <c r="L31" s="972"/>
    </row>
    <row r="32" spans="1:12" ht="12.75">
      <c r="A32" s="201">
        <f t="shared" si="0"/>
        <v>21</v>
      </c>
      <c r="B32" s="201" t="s">
        <v>637</v>
      </c>
      <c r="C32" s="970"/>
      <c r="D32" s="971"/>
      <c r="E32" s="971"/>
      <c r="F32" s="971"/>
      <c r="G32" s="971"/>
      <c r="H32" s="971"/>
      <c r="I32" s="971"/>
      <c r="J32" s="971"/>
      <c r="K32" s="971"/>
      <c r="L32" s="972"/>
    </row>
    <row r="33" spans="1:12" ht="12.75">
      <c r="A33" s="201">
        <f t="shared" si="0"/>
        <v>22</v>
      </c>
      <c r="B33" s="201" t="s">
        <v>612</v>
      </c>
      <c r="C33" s="970"/>
      <c r="D33" s="971"/>
      <c r="E33" s="971"/>
      <c r="F33" s="971"/>
      <c r="G33" s="971"/>
      <c r="H33" s="971"/>
      <c r="I33" s="971"/>
      <c r="J33" s="971"/>
      <c r="K33" s="971"/>
      <c r="L33" s="972"/>
    </row>
    <row r="34" spans="1:12" ht="12.75">
      <c r="A34" s="201">
        <f t="shared" si="0"/>
        <v>23</v>
      </c>
      <c r="B34" s="201" t="s">
        <v>613</v>
      </c>
      <c r="C34" s="970"/>
      <c r="D34" s="971"/>
      <c r="E34" s="971"/>
      <c r="F34" s="971"/>
      <c r="G34" s="971"/>
      <c r="H34" s="971"/>
      <c r="I34" s="971"/>
      <c r="J34" s="971"/>
      <c r="K34" s="971"/>
      <c r="L34" s="972"/>
    </row>
    <row r="35" spans="1:12" ht="12.75">
      <c r="A35" s="201">
        <f t="shared" si="0"/>
        <v>24</v>
      </c>
      <c r="B35" s="201" t="s">
        <v>614</v>
      </c>
      <c r="C35" s="970"/>
      <c r="D35" s="971"/>
      <c r="E35" s="971"/>
      <c r="F35" s="971"/>
      <c r="G35" s="971"/>
      <c r="H35" s="971"/>
      <c r="I35" s="971"/>
      <c r="J35" s="971"/>
      <c r="K35" s="971"/>
      <c r="L35" s="972"/>
    </row>
    <row r="36" spans="1:12" ht="12.75">
      <c r="A36" s="201">
        <f t="shared" si="0"/>
        <v>25</v>
      </c>
      <c r="B36" s="201" t="s">
        <v>615</v>
      </c>
      <c r="C36" s="970"/>
      <c r="D36" s="971"/>
      <c r="E36" s="971"/>
      <c r="F36" s="971"/>
      <c r="G36" s="971"/>
      <c r="H36" s="971"/>
      <c r="I36" s="971"/>
      <c r="J36" s="971"/>
      <c r="K36" s="971"/>
      <c r="L36" s="972"/>
    </row>
    <row r="37" spans="1:12" ht="12.75">
      <c r="A37" s="201">
        <f t="shared" si="0"/>
        <v>26</v>
      </c>
      <c r="B37" s="201" t="s">
        <v>616</v>
      </c>
      <c r="C37" s="970"/>
      <c r="D37" s="971"/>
      <c r="E37" s="971"/>
      <c r="F37" s="971"/>
      <c r="G37" s="971"/>
      <c r="H37" s="971"/>
      <c r="I37" s="971"/>
      <c r="J37" s="971"/>
      <c r="K37" s="971"/>
      <c r="L37" s="972"/>
    </row>
    <row r="38" spans="1:12" ht="12.75">
      <c r="A38" s="201">
        <f t="shared" si="0"/>
        <v>27</v>
      </c>
      <c r="B38" s="201" t="s">
        <v>617</v>
      </c>
      <c r="C38" s="970"/>
      <c r="D38" s="971"/>
      <c r="E38" s="971"/>
      <c r="F38" s="971"/>
      <c r="G38" s="971"/>
      <c r="H38" s="971"/>
      <c r="I38" s="971"/>
      <c r="J38" s="971"/>
      <c r="K38" s="971"/>
      <c r="L38" s="972"/>
    </row>
    <row r="39" spans="1:12" ht="12.75">
      <c r="A39" s="201">
        <f t="shared" si="0"/>
        <v>28</v>
      </c>
      <c r="B39" s="201" t="s">
        <v>618</v>
      </c>
      <c r="C39" s="970"/>
      <c r="D39" s="971"/>
      <c r="E39" s="971"/>
      <c r="F39" s="971"/>
      <c r="G39" s="971"/>
      <c r="H39" s="971"/>
      <c r="I39" s="971"/>
      <c r="J39" s="971"/>
      <c r="K39" s="971"/>
      <c r="L39" s="972"/>
    </row>
    <row r="40" spans="1:12" ht="12.75">
      <c r="A40" s="201">
        <f t="shared" si="0"/>
        <v>29</v>
      </c>
      <c r="B40" s="201" t="s">
        <v>619</v>
      </c>
      <c r="C40" s="970"/>
      <c r="D40" s="971"/>
      <c r="E40" s="971"/>
      <c r="F40" s="971"/>
      <c r="G40" s="971"/>
      <c r="H40" s="971"/>
      <c r="I40" s="971"/>
      <c r="J40" s="971"/>
      <c r="K40" s="971"/>
      <c r="L40" s="972"/>
    </row>
    <row r="41" spans="1:12" ht="12.75">
      <c r="A41" s="201">
        <f t="shared" si="0"/>
        <v>30</v>
      </c>
      <c r="B41" s="143" t="s">
        <v>620</v>
      </c>
      <c r="C41" s="970"/>
      <c r="D41" s="971"/>
      <c r="E41" s="971"/>
      <c r="F41" s="971"/>
      <c r="G41" s="971"/>
      <c r="H41" s="971"/>
      <c r="I41" s="971"/>
      <c r="J41" s="971"/>
      <c r="K41" s="971"/>
      <c r="L41" s="972"/>
    </row>
    <row r="42" spans="1:12" ht="12.75">
      <c r="A42" s="201">
        <f t="shared" si="0"/>
        <v>31</v>
      </c>
      <c r="B42" s="143" t="s">
        <v>621</v>
      </c>
      <c r="C42" s="970"/>
      <c r="D42" s="971"/>
      <c r="E42" s="971"/>
      <c r="F42" s="971"/>
      <c r="G42" s="971"/>
      <c r="H42" s="971"/>
      <c r="I42" s="971"/>
      <c r="J42" s="971"/>
      <c r="K42" s="971"/>
      <c r="L42" s="972"/>
    </row>
    <row r="43" spans="1:12" ht="12.75">
      <c r="A43" s="201">
        <f t="shared" si="0"/>
        <v>32</v>
      </c>
      <c r="B43" s="143" t="s">
        <v>622</v>
      </c>
      <c r="C43" s="970"/>
      <c r="D43" s="971"/>
      <c r="E43" s="971"/>
      <c r="F43" s="971"/>
      <c r="G43" s="971"/>
      <c r="H43" s="971"/>
      <c r="I43" s="971"/>
      <c r="J43" s="971"/>
      <c r="K43" s="971"/>
      <c r="L43" s="972"/>
    </row>
    <row r="44" spans="1:12" ht="12.75">
      <c r="A44" s="201">
        <f t="shared" si="0"/>
        <v>33</v>
      </c>
      <c r="B44" s="143" t="s">
        <v>623</v>
      </c>
      <c r="C44" s="970"/>
      <c r="D44" s="971"/>
      <c r="E44" s="971"/>
      <c r="F44" s="971"/>
      <c r="G44" s="971"/>
      <c r="H44" s="971"/>
      <c r="I44" s="971"/>
      <c r="J44" s="971"/>
      <c r="K44" s="971"/>
      <c r="L44" s="972"/>
    </row>
    <row r="45" spans="1:12" ht="12.75">
      <c r="A45" s="150"/>
      <c r="B45" s="150" t="s">
        <v>624</v>
      </c>
      <c r="C45" s="973"/>
      <c r="D45" s="974"/>
      <c r="E45" s="974"/>
      <c r="F45" s="974"/>
      <c r="G45" s="974"/>
      <c r="H45" s="974"/>
      <c r="I45" s="974"/>
      <c r="J45" s="974"/>
      <c r="K45" s="974"/>
      <c r="L45" s="975"/>
    </row>
    <row r="46" spans="1:10" ht="12.75">
      <c r="A46" s="43"/>
      <c r="B46" s="59"/>
      <c r="C46" s="59"/>
      <c r="D46" s="140"/>
      <c r="E46" s="140"/>
      <c r="F46" s="140"/>
      <c r="G46" s="140"/>
      <c r="H46" s="140"/>
      <c r="I46" s="140"/>
      <c r="J46" s="140"/>
    </row>
    <row r="49" spans="1:10" ht="12.75">
      <c r="A49" s="965"/>
      <c r="B49" s="965"/>
      <c r="C49" s="965"/>
      <c r="D49" s="965"/>
      <c r="E49" s="965"/>
      <c r="F49" s="965"/>
      <c r="G49" s="965"/>
      <c r="H49" s="965"/>
      <c r="I49" s="965"/>
      <c r="J49" s="965"/>
    </row>
    <row r="51" spans="8:12" ht="15.75">
      <c r="H51" s="621" t="s">
        <v>860</v>
      </c>
      <c r="I51" s="621"/>
      <c r="J51" s="621"/>
      <c r="K51" s="621"/>
      <c r="L51" s="621"/>
    </row>
    <row r="52" spans="8:12" ht="15.75">
      <c r="H52" s="621" t="s">
        <v>653</v>
      </c>
      <c r="I52" s="621"/>
      <c r="J52" s="621"/>
      <c r="K52" s="621"/>
      <c r="L52" s="621"/>
    </row>
  </sheetData>
  <sheetProtection/>
  <mergeCells count="17">
    <mergeCell ref="C12:L45"/>
    <mergeCell ref="H51:L51"/>
    <mergeCell ref="H52:L52"/>
    <mergeCell ref="A49:J49"/>
    <mergeCell ref="A9:A10"/>
    <mergeCell ref="B9:B10"/>
    <mergeCell ref="C9:D9"/>
    <mergeCell ref="E9:F9"/>
    <mergeCell ref="G9:H9"/>
    <mergeCell ref="I9:J9"/>
    <mergeCell ref="K9:L9"/>
    <mergeCell ref="E1:I1"/>
    <mergeCell ref="A8:B8"/>
    <mergeCell ref="H8:J8"/>
    <mergeCell ref="A5:L5"/>
    <mergeCell ref="A2:L2"/>
    <mergeCell ref="A3:L3"/>
  </mergeCells>
  <printOptions horizontalCentered="1"/>
  <pageMargins left="0.41" right="0.47" top="0.38" bottom="0" header="0.31496062992125984" footer="0.31496062992125984"/>
  <pageSetup fitToHeight="1" fitToWidth="1" horizontalDpi="600" verticalDpi="600" orientation="landscape" paperSize="9" scale="7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2"/>
  <sheetViews>
    <sheetView view="pageBreakPreview" zoomScale="55" zoomScaleNormal="70" zoomScaleSheetLayoutView="55" zoomScalePageLayoutView="0" workbookViewId="0" topLeftCell="A5">
      <selection activeCell="P23" sqref="P23"/>
    </sheetView>
  </sheetViews>
  <sheetFormatPr defaultColWidth="9.140625" defaultRowHeight="12.75"/>
  <cols>
    <col min="1" max="1" width="7.421875" style="193" customWidth="1"/>
    <col min="2" max="2" width="17.140625" style="193" customWidth="1"/>
    <col min="3" max="3" width="11.00390625" style="193" customWidth="1"/>
    <col min="4" max="4" width="10.00390625" style="193" customWidth="1"/>
    <col min="5" max="5" width="11.8515625" style="193" customWidth="1"/>
    <col min="6" max="6" width="12.140625" style="193" customWidth="1"/>
    <col min="7" max="7" width="13.28125" style="193" customWidth="1"/>
    <col min="8" max="8" width="14.57421875" style="193" customWidth="1"/>
    <col min="9" max="9" width="12.00390625" style="193" customWidth="1"/>
    <col min="10" max="10" width="13.140625" style="193" customWidth="1"/>
    <col min="11" max="11" width="10.8515625" style="193" customWidth="1"/>
    <col min="12" max="12" width="10.7109375" style="193" customWidth="1"/>
    <col min="13" max="16384" width="9.140625" style="193" customWidth="1"/>
  </cols>
  <sheetData>
    <row r="1" spans="5:10" ht="12.75">
      <c r="E1" s="960"/>
      <c r="F1" s="960"/>
      <c r="G1" s="960"/>
      <c r="H1" s="960"/>
      <c r="I1" s="960"/>
      <c r="J1" s="138" t="s">
        <v>597</v>
      </c>
    </row>
    <row r="2" spans="1:10" ht="1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</row>
    <row r="3" spans="1:10" ht="20.25">
      <c r="A3" s="623" t="s">
        <v>695</v>
      </c>
      <c r="B3" s="623"/>
      <c r="C3" s="623"/>
      <c r="D3" s="623"/>
      <c r="E3" s="623"/>
      <c r="F3" s="623"/>
      <c r="G3" s="623"/>
      <c r="H3" s="623"/>
      <c r="I3" s="623"/>
      <c r="J3" s="623"/>
    </row>
    <row r="4" ht="14.25" customHeight="1"/>
    <row r="5" spans="1:12" ht="16.5" customHeight="1">
      <c r="A5" s="963" t="s">
        <v>745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1:10" ht="13.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ht="0.75" customHeight="1"/>
    <row r="8" spans="1:10" ht="12.75">
      <c r="A8" s="961" t="s">
        <v>673</v>
      </c>
      <c r="B8" s="961"/>
      <c r="C8" s="192"/>
      <c r="H8" s="962" t="s">
        <v>842</v>
      </c>
      <c r="I8" s="962"/>
      <c r="J8" s="962"/>
    </row>
    <row r="9" spans="1:16" ht="12.75">
      <c r="A9" s="782" t="s">
        <v>2</v>
      </c>
      <c r="B9" s="782" t="s">
        <v>33</v>
      </c>
      <c r="C9" s="966" t="s">
        <v>591</v>
      </c>
      <c r="D9" s="966"/>
      <c r="E9" s="966" t="s">
        <v>123</v>
      </c>
      <c r="F9" s="966"/>
      <c r="G9" s="966" t="s">
        <v>592</v>
      </c>
      <c r="H9" s="966"/>
      <c r="I9" s="966" t="s">
        <v>124</v>
      </c>
      <c r="J9" s="966"/>
      <c r="K9" s="966" t="s">
        <v>125</v>
      </c>
      <c r="L9" s="966"/>
      <c r="O9" s="139"/>
      <c r="P9" s="140"/>
    </row>
    <row r="10" spans="1:12" ht="53.25" customHeight="1">
      <c r="A10" s="782"/>
      <c r="B10" s="782"/>
      <c r="C10" s="179" t="s">
        <v>593</v>
      </c>
      <c r="D10" s="179" t="s">
        <v>594</v>
      </c>
      <c r="E10" s="179" t="s">
        <v>595</v>
      </c>
      <c r="F10" s="179" t="s">
        <v>596</v>
      </c>
      <c r="G10" s="179" t="s">
        <v>595</v>
      </c>
      <c r="H10" s="179" t="s">
        <v>596</v>
      </c>
      <c r="I10" s="179" t="s">
        <v>593</v>
      </c>
      <c r="J10" s="179" t="s">
        <v>594</v>
      </c>
      <c r="K10" s="179" t="s">
        <v>593</v>
      </c>
      <c r="L10" s="179" t="s">
        <v>594</v>
      </c>
    </row>
    <row r="11" spans="1:12" ht="12.75">
      <c r="A11" s="179">
        <v>1</v>
      </c>
      <c r="B11" s="179">
        <v>2</v>
      </c>
      <c r="C11" s="179">
        <v>3</v>
      </c>
      <c r="D11" s="179">
        <v>4</v>
      </c>
      <c r="E11" s="179">
        <v>5</v>
      </c>
      <c r="F11" s="179">
        <v>6</v>
      </c>
      <c r="G11" s="179">
        <v>7</v>
      </c>
      <c r="H11" s="179">
        <v>8</v>
      </c>
      <c r="I11" s="179">
        <v>9</v>
      </c>
      <c r="J11" s="179">
        <v>10</v>
      </c>
      <c r="K11" s="179">
        <v>11</v>
      </c>
      <c r="L11" s="179">
        <v>12</v>
      </c>
    </row>
    <row r="12" spans="1:12" ht="12.75">
      <c r="A12" s="201">
        <v>1</v>
      </c>
      <c r="B12" s="201" t="s">
        <v>633</v>
      </c>
      <c r="C12" s="967" t="s">
        <v>638</v>
      </c>
      <c r="D12" s="968"/>
      <c r="E12" s="968"/>
      <c r="F12" s="968"/>
      <c r="G12" s="968"/>
      <c r="H12" s="968"/>
      <c r="I12" s="968"/>
      <c r="J12" s="968"/>
      <c r="K12" s="968"/>
      <c r="L12" s="969"/>
    </row>
    <row r="13" spans="1:12" ht="12.75">
      <c r="A13" s="201">
        <f>A12+1</f>
        <v>2</v>
      </c>
      <c r="B13" s="201" t="s">
        <v>598</v>
      </c>
      <c r="C13" s="970"/>
      <c r="D13" s="971"/>
      <c r="E13" s="971"/>
      <c r="F13" s="971"/>
      <c r="G13" s="971"/>
      <c r="H13" s="971"/>
      <c r="I13" s="971"/>
      <c r="J13" s="971"/>
      <c r="K13" s="971"/>
      <c r="L13" s="972"/>
    </row>
    <row r="14" spans="1:12" ht="12.75">
      <c r="A14" s="201">
        <f aca="true" t="shared" si="0" ref="A14:A44">A13+1</f>
        <v>3</v>
      </c>
      <c r="B14" s="201" t="s">
        <v>634</v>
      </c>
      <c r="C14" s="970"/>
      <c r="D14" s="971"/>
      <c r="E14" s="971"/>
      <c r="F14" s="971"/>
      <c r="G14" s="971"/>
      <c r="H14" s="971"/>
      <c r="I14" s="971"/>
      <c r="J14" s="971"/>
      <c r="K14" s="971"/>
      <c r="L14" s="972"/>
    </row>
    <row r="15" spans="1:12" ht="12.75">
      <c r="A15" s="201">
        <f t="shared" si="0"/>
        <v>4</v>
      </c>
      <c r="B15" s="201" t="s">
        <v>599</v>
      </c>
      <c r="C15" s="970"/>
      <c r="D15" s="971"/>
      <c r="E15" s="971"/>
      <c r="F15" s="971"/>
      <c r="G15" s="971"/>
      <c r="H15" s="971"/>
      <c r="I15" s="971"/>
      <c r="J15" s="971"/>
      <c r="K15" s="971"/>
      <c r="L15" s="972"/>
    </row>
    <row r="16" spans="1:12" ht="12.75">
      <c r="A16" s="201">
        <f t="shared" si="0"/>
        <v>5</v>
      </c>
      <c r="B16" s="201" t="s">
        <v>600</v>
      </c>
      <c r="C16" s="970"/>
      <c r="D16" s="971"/>
      <c r="E16" s="971"/>
      <c r="F16" s="971"/>
      <c r="G16" s="971"/>
      <c r="H16" s="971"/>
      <c r="I16" s="971"/>
      <c r="J16" s="971"/>
      <c r="K16" s="971"/>
      <c r="L16" s="972"/>
    </row>
    <row r="17" spans="1:12" ht="12.75">
      <c r="A17" s="201">
        <f t="shared" si="0"/>
        <v>6</v>
      </c>
      <c r="B17" s="201" t="s">
        <v>601</v>
      </c>
      <c r="C17" s="970"/>
      <c r="D17" s="971"/>
      <c r="E17" s="971"/>
      <c r="F17" s="971"/>
      <c r="G17" s="971"/>
      <c r="H17" s="971"/>
      <c r="I17" s="971"/>
      <c r="J17" s="971"/>
      <c r="K17" s="971"/>
      <c r="L17" s="972"/>
    </row>
    <row r="18" spans="1:12" ht="12.75">
      <c r="A18" s="201">
        <f t="shared" si="0"/>
        <v>7</v>
      </c>
      <c r="B18" s="201" t="s">
        <v>602</v>
      </c>
      <c r="C18" s="970"/>
      <c r="D18" s="971"/>
      <c r="E18" s="971"/>
      <c r="F18" s="971"/>
      <c r="G18" s="971"/>
      <c r="H18" s="971"/>
      <c r="I18" s="971"/>
      <c r="J18" s="971"/>
      <c r="K18" s="971"/>
      <c r="L18" s="972"/>
    </row>
    <row r="19" spans="1:12" ht="12.75">
      <c r="A19" s="201">
        <f t="shared" si="0"/>
        <v>8</v>
      </c>
      <c r="B19" s="201" t="s">
        <v>603</v>
      </c>
      <c r="C19" s="970"/>
      <c r="D19" s="971"/>
      <c r="E19" s="971"/>
      <c r="F19" s="971"/>
      <c r="G19" s="971"/>
      <c r="H19" s="971"/>
      <c r="I19" s="971"/>
      <c r="J19" s="971"/>
      <c r="K19" s="971"/>
      <c r="L19" s="972"/>
    </row>
    <row r="20" spans="1:12" ht="12.75">
      <c r="A20" s="201">
        <f t="shared" si="0"/>
        <v>9</v>
      </c>
      <c r="B20" s="201" t="s">
        <v>604</v>
      </c>
      <c r="C20" s="970"/>
      <c r="D20" s="971"/>
      <c r="E20" s="971"/>
      <c r="F20" s="971"/>
      <c r="G20" s="971"/>
      <c r="H20" s="971"/>
      <c r="I20" s="971"/>
      <c r="J20" s="971"/>
      <c r="K20" s="971"/>
      <c r="L20" s="972"/>
    </row>
    <row r="21" spans="1:12" ht="12.75">
      <c r="A21" s="201">
        <f t="shared" si="0"/>
        <v>10</v>
      </c>
      <c r="B21" s="201" t="s">
        <v>605</v>
      </c>
      <c r="C21" s="970"/>
      <c r="D21" s="971"/>
      <c r="E21" s="971"/>
      <c r="F21" s="971"/>
      <c r="G21" s="971"/>
      <c r="H21" s="971"/>
      <c r="I21" s="971"/>
      <c r="J21" s="971"/>
      <c r="K21" s="971"/>
      <c r="L21" s="972"/>
    </row>
    <row r="22" spans="1:12" ht="12.75">
      <c r="A22" s="201">
        <f t="shared" si="0"/>
        <v>11</v>
      </c>
      <c r="B22" s="201" t="s">
        <v>635</v>
      </c>
      <c r="C22" s="970"/>
      <c r="D22" s="971"/>
      <c r="E22" s="971"/>
      <c r="F22" s="971"/>
      <c r="G22" s="971"/>
      <c r="H22" s="971"/>
      <c r="I22" s="971"/>
      <c r="J22" s="971"/>
      <c r="K22" s="971"/>
      <c r="L22" s="972"/>
    </row>
    <row r="23" spans="1:12" ht="12.75">
      <c r="A23" s="201">
        <f t="shared" si="0"/>
        <v>12</v>
      </c>
      <c r="B23" s="201" t="s">
        <v>606</v>
      </c>
      <c r="C23" s="970"/>
      <c r="D23" s="971"/>
      <c r="E23" s="971"/>
      <c r="F23" s="971"/>
      <c r="G23" s="971"/>
      <c r="H23" s="971"/>
      <c r="I23" s="971"/>
      <c r="J23" s="971"/>
      <c r="K23" s="971"/>
      <c r="L23" s="972"/>
    </row>
    <row r="24" spans="1:12" ht="12.75">
      <c r="A24" s="201">
        <f t="shared" si="0"/>
        <v>13</v>
      </c>
      <c r="B24" s="201" t="s">
        <v>607</v>
      </c>
      <c r="C24" s="970"/>
      <c r="D24" s="971"/>
      <c r="E24" s="971"/>
      <c r="F24" s="971"/>
      <c r="G24" s="971"/>
      <c r="H24" s="971"/>
      <c r="I24" s="971"/>
      <c r="J24" s="971"/>
      <c r="K24" s="971"/>
      <c r="L24" s="972"/>
    </row>
    <row r="25" spans="1:12" ht="12.75">
      <c r="A25" s="201">
        <f t="shared" si="0"/>
        <v>14</v>
      </c>
      <c r="B25" s="201" t="s">
        <v>636</v>
      </c>
      <c r="C25" s="970"/>
      <c r="D25" s="971"/>
      <c r="E25" s="971"/>
      <c r="F25" s="971"/>
      <c r="G25" s="971"/>
      <c r="H25" s="971"/>
      <c r="I25" s="971"/>
      <c r="J25" s="971"/>
      <c r="K25" s="971"/>
      <c r="L25" s="972"/>
    </row>
    <row r="26" spans="1:12" ht="12.75">
      <c r="A26" s="201">
        <f t="shared" si="0"/>
        <v>15</v>
      </c>
      <c r="B26" s="201" t="s">
        <v>608</v>
      </c>
      <c r="C26" s="970"/>
      <c r="D26" s="971"/>
      <c r="E26" s="971"/>
      <c r="F26" s="971"/>
      <c r="G26" s="971"/>
      <c r="H26" s="971"/>
      <c r="I26" s="971"/>
      <c r="J26" s="971"/>
      <c r="K26" s="971"/>
      <c r="L26" s="972"/>
    </row>
    <row r="27" spans="1:12" ht="12.75">
      <c r="A27" s="201">
        <f t="shared" si="0"/>
        <v>16</v>
      </c>
      <c r="B27" s="201" t="s">
        <v>609</v>
      </c>
      <c r="C27" s="970"/>
      <c r="D27" s="971"/>
      <c r="E27" s="971"/>
      <c r="F27" s="971"/>
      <c r="G27" s="971"/>
      <c r="H27" s="971"/>
      <c r="I27" s="971"/>
      <c r="J27" s="971"/>
      <c r="K27" s="971"/>
      <c r="L27" s="972"/>
    </row>
    <row r="28" spans="1:12" ht="12.75">
      <c r="A28" s="201">
        <f t="shared" si="0"/>
        <v>17</v>
      </c>
      <c r="B28" s="269" t="s">
        <v>757</v>
      </c>
      <c r="C28" s="970"/>
      <c r="D28" s="971"/>
      <c r="E28" s="971"/>
      <c r="F28" s="971"/>
      <c r="G28" s="971"/>
      <c r="H28" s="971"/>
      <c r="I28" s="971"/>
      <c r="J28" s="971"/>
      <c r="K28" s="971"/>
      <c r="L28" s="972"/>
    </row>
    <row r="29" spans="1:12" ht="12.75">
      <c r="A29" s="201">
        <f t="shared" si="0"/>
        <v>18</v>
      </c>
      <c r="B29" s="201" t="s">
        <v>610</v>
      </c>
      <c r="C29" s="970"/>
      <c r="D29" s="971"/>
      <c r="E29" s="971"/>
      <c r="F29" s="971"/>
      <c r="G29" s="971"/>
      <c r="H29" s="971"/>
      <c r="I29" s="971"/>
      <c r="J29" s="971"/>
      <c r="K29" s="971"/>
      <c r="L29" s="972"/>
    </row>
    <row r="30" spans="1:12" ht="12.75">
      <c r="A30" s="201">
        <f t="shared" si="0"/>
        <v>19</v>
      </c>
      <c r="B30" s="201" t="s">
        <v>611</v>
      </c>
      <c r="C30" s="970"/>
      <c r="D30" s="971"/>
      <c r="E30" s="971"/>
      <c r="F30" s="971"/>
      <c r="G30" s="971"/>
      <c r="H30" s="971"/>
      <c r="I30" s="971"/>
      <c r="J30" s="971"/>
      <c r="K30" s="971"/>
      <c r="L30" s="972"/>
    </row>
    <row r="31" spans="1:12" ht="12.75">
      <c r="A31" s="201">
        <f t="shared" si="0"/>
        <v>20</v>
      </c>
      <c r="B31" s="269" t="s">
        <v>756</v>
      </c>
      <c r="C31" s="970"/>
      <c r="D31" s="971"/>
      <c r="E31" s="971"/>
      <c r="F31" s="971"/>
      <c r="G31" s="971"/>
      <c r="H31" s="971"/>
      <c r="I31" s="971"/>
      <c r="J31" s="971"/>
      <c r="K31" s="971"/>
      <c r="L31" s="972"/>
    </row>
    <row r="32" spans="1:12" ht="12.75">
      <c r="A32" s="201">
        <f t="shared" si="0"/>
        <v>21</v>
      </c>
      <c r="B32" s="201" t="s">
        <v>637</v>
      </c>
      <c r="C32" s="970"/>
      <c r="D32" s="971"/>
      <c r="E32" s="971"/>
      <c r="F32" s="971"/>
      <c r="G32" s="971"/>
      <c r="H32" s="971"/>
      <c r="I32" s="971"/>
      <c r="J32" s="971"/>
      <c r="K32" s="971"/>
      <c r="L32" s="972"/>
    </row>
    <row r="33" spans="1:12" ht="12.75">
      <c r="A33" s="201">
        <f t="shared" si="0"/>
        <v>22</v>
      </c>
      <c r="B33" s="201" t="s">
        <v>612</v>
      </c>
      <c r="C33" s="970"/>
      <c r="D33" s="971"/>
      <c r="E33" s="971"/>
      <c r="F33" s="971"/>
      <c r="G33" s="971"/>
      <c r="H33" s="971"/>
      <c r="I33" s="971"/>
      <c r="J33" s="971"/>
      <c r="K33" s="971"/>
      <c r="L33" s="972"/>
    </row>
    <row r="34" spans="1:12" ht="12.75">
      <c r="A34" s="201">
        <f t="shared" si="0"/>
        <v>23</v>
      </c>
      <c r="B34" s="201" t="s">
        <v>613</v>
      </c>
      <c r="C34" s="970"/>
      <c r="D34" s="971"/>
      <c r="E34" s="971"/>
      <c r="F34" s="971"/>
      <c r="G34" s="971"/>
      <c r="H34" s="971"/>
      <c r="I34" s="971"/>
      <c r="J34" s="971"/>
      <c r="K34" s="971"/>
      <c r="L34" s="972"/>
    </row>
    <row r="35" spans="1:12" ht="12.75">
      <c r="A35" s="201">
        <f t="shared" si="0"/>
        <v>24</v>
      </c>
      <c r="B35" s="201" t="s">
        <v>614</v>
      </c>
      <c r="C35" s="970"/>
      <c r="D35" s="971"/>
      <c r="E35" s="971"/>
      <c r="F35" s="971"/>
      <c r="G35" s="971"/>
      <c r="H35" s="971"/>
      <c r="I35" s="971"/>
      <c r="J35" s="971"/>
      <c r="K35" s="971"/>
      <c r="L35" s="972"/>
    </row>
    <row r="36" spans="1:12" ht="12.75">
      <c r="A36" s="201">
        <f t="shared" si="0"/>
        <v>25</v>
      </c>
      <c r="B36" s="201" t="s">
        <v>615</v>
      </c>
      <c r="C36" s="970"/>
      <c r="D36" s="971"/>
      <c r="E36" s="971"/>
      <c r="F36" s="971"/>
      <c r="G36" s="971"/>
      <c r="H36" s="971"/>
      <c r="I36" s="971"/>
      <c r="J36" s="971"/>
      <c r="K36" s="971"/>
      <c r="L36" s="972"/>
    </row>
    <row r="37" spans="1:12" ht="12.75">
      <c r="A37" s="201">
        <f t="shared" si="0"/>
        <v>26</v>
      </c>
      <c r="B37" s="201" t="s">
        <v>616</v>
      </c>
      <c r="C37" s="970"/>
      <c r="D37" s="971"/>
      <c r="E37" s="971"/>
      <c r="F37" s="971"/>
      <c r="G37" s="971"/>
      <c r="H37" s="971"/>
      <c r="I37" s="971"/>
      <c r="J37" s="971"/>
      <c r="K37" s="971"/>
      <c r="L37" s="972"/>
    </row>
    <row r="38" spans="1:12" ht="12.75">
      <c r="A38" s="201">
        <f t="shared" si="0"/>
        <v>27</v>
      </c>
      <c r="B38" s="201" t="s">
        <v>617</v>
      </c>
      <c r="C38" s="970"/>
      <c r="D38" s="971"/>
      <c r="E38" s="971"/>
      <c r="F38" s="971"/>
      <c r="G38" s="971"/>
      <c r="H38" s="971"/>
      <c r="I38" s="971"/>
      <c r="J38" s="971"/>
      <c r="K38" s="971"/>
      <c r="L38" s="972"/>
    </row>
    <row r="39" spans="1:12" ht="12.75">
      <c r="A39" s="201">
        <f t="shared" si="0"/>
        <v>28</v>
      </c>
      <c r="B39" s="201" t="s">
        <v>618</v>
      </c>
      <c r="C39" s="970"/>
      <c r="D39" s="971"/>
      <c r="E39" s="971"/>
      <c r="F39" s="971"/>
      <c r="G39" s="971"/>
      <c r="H39" s="971"/>
      <c r="I39" s="971"/>
      <c r="J39" s="971"/>
      <c r="K39" s="971"/>
      <c r="L39" s="972"/>
    </row>
    <row r="40" spans="1:12" ht="12.75">
      <c r="A40" s="201">
        <f t="shared" si="0"/>
        <v>29</v>
      </c>
      <c r="B40" s="201" t="s">
        <v>619</v>
      </c>
      <c r="C40" s="970"/>
      <c r="D40" s="971"/>
      <c r="E40" s="971"/>
      <c r="F40" s="971"/>
      <c r="G40" s="971"/>
      <c r="H40" s="971"/>
      <c r="I40" s="971"/>
      <c r="J40" s="971"/>
      <c r="K40" s="971"/>
      <c r="L40" s="972"/>
    </row>
    <row r="41" spans="1:12" ht="12.75">
      <c r="A41" s="201">
        <f t="shared" si="0"/>
        <v>30</v>
      </c>
      <c r="B41" s="143" t="s">
        <v>620</v>
      </c>
      <c r="C41" s="970"/>
      <c r="D41" s="971"/>
      <c r="E41" s="971"/>
      <c r="F41" s="971"/>
      <c r="G41" s="971"/>
      <c r="H41" s="971"/>
      <c r="I41" s="971"/>
      <c r="J41" s="971"/>
      <c r="K41" s="971"/>
      <c r="L41" s="972"/>
    </row>
    <row r="42" spans="1:12" ht="12.75">
      <c r="A42" s="201">
        <f t="shared" si="0"/>
        <v>31</v>
      </c>
      <c r="B42" s="143" t="s">
        <v>621</v>
      </c>
      <c r="C42" s="970"/>
      <c r="D42" s="971"/>
      <c r="E42" s="971"/>
      <c r="F42" s="971"/>
      <c r="G42" s="971"/>
      <c r="H42" s="971"/>
      <c r="I42" s="971"/>
      <c r="J42" s="971"/>
      <c r="K42" s="971"/>
      <c r="L42" s="972"/>
    </row>
    <row r="43" spans="1:12" ht="12.75">
      <c r="A43" s="201">
        <f t="shared" si="0"/>
        <v>32</v>
      </c>
      <c r="B43" s="143" t="s">
        <v>622</v>
      </c>
      <c r="C43" s="970"/>
      <c r="D43" s="971"/>
      <c r="E43" s="971"/>
      <c r="F43" s="971"/>
      <c r="G43" s="971"/>
      <c r="H43" s="971"/>
      <c r="I43" s="971"/>
      <c r="J43" s="971"/>
      <c r="K43" s="971"/>
      <c r="L43" s="972"/>
    </row>
    <row r="44" spans="1:12" ht="12.75">
      <c r="A44" s="201">
        <f t="shared" si="0"/>
        <v>33</v>
      </c>
      <c r="B44" s="143" t="s">
        <v>623</v>
      </c>
      <c r="C44" s="970"/>
      <c r="D44" s="971"/>
      <c r="E44" s="971"/>
      <c r="F44" s="971"/>
      <c r="G44" s="971"/>
      <c r="H44" s="971"/>
      <c r="I44" s="971"/>
      <c r="J44" s="971"/>
      <c r="K44" s="971"/>
      <c r="L44" s="972"/>
    </row>
    <row r="45" spans="1:12" ht="12.75">
      <c r="A45" s="150"/>
      <c r="B45" s="150" t="s">
        <v>624</v>
      </c>
      <c r="C45" s="973"/>
      <c r="D45" s="974"/>
      <c r="E45" s="974"/>
      <c r="F45" s="974"/>
      <c r="G45" s="974"/>
      <c r="H45" s="974"/>
      <c r="I45" s="974"/>
      <c r="J45" s="974"/>
      <c r="K45" s="974"/>
      <c r="L45" s="975"/>
    </row>
    <row r="46" spans="1:10" ht="12.75">
      <c r="A46" s="43"/>
      <c r="B46" s="59"/>
      <c r="C46" s="59"/>
      <c r="D46" s="140"/>
      <c r="E46" s="140"/>
      <c r="F46" s="140"/>
      <c r="G46" s="140"/>
      <c r="H46" s="140"/>
      <c r="I46" s="140"/>
      <c r="J46" s="140"/>
    </row>
    <row r="47" spans="1:10" ht="12.75">
      <c r="A47" s="43"/>
      <c r="B47" s="59"/>
      <c r="C47" s="59"/>
      <c r="D47" s="140"/>
      <c r="E47" s="140"/>
      <c r="F47" s="140"/>
      <c r="G47" s="140"/>
      <c r="H47" s="140"/>
      <c r="I47" s="140"/>
      <c r="J47" s="140"/>
    </row>
    <row r="50" spans="1:10" ht="12.75">
      <c r="A50" s="965"/>
      <c r="B50" s="965"/>
      <c r="C50" s="965"/>
      <c r="D50" s="965"/>
      <c r="E50" s="965"/>
      <c r="F50" s="965"/>
      <c r="G50" s="965"/>
      <c r="H50" s="965"/>
      <c r="I50" s="965"/>
      <c r="J50" s="965"/>
    </row>
    <row r="51" spans="8:12" ht="15.75">
      <c r="H51" s="621" t="s">
        <v>860</v>
      </c>
      <c r="I51" s="621"/>
      <c r="J51" s="621"/>
      <c r="K51" s="621"/>
      <c r="L51" s="621"/>
    </row>
    <row r="52" spans="8:12" ht="15.75">
      <c r="H52" s="621" t="s">
        <v>653</v>
      </c>
      <c r="I52" s="621"/>
      <c r="J52" s="621"/>
      <c r="K52" s="621"/>
      <c r="L52" s="621"/>
    </row>
  </sheetData>
  <sheetProtection/>
  <mergeCells count="17">
    <mergeCell ref="C12:L45"/>
    <mergeCell ref="H51:L51"/>
    <mergeCell ref="H52:L52"/>
    <mergeCell ref="A50:J50"/>
    <mergeCell ref="A9:A10"/>
    <mergeCell ref="B9:B10"/>
    <mergeCell ref="C9:D9"/>
    <mergeCell ref="E9:F9"/>
    <mergeCell ref="G9:H9"/>
    <mergeCell ref="I9:J9"/>
    <mergeCell ref="K9:L9"/>
    <mergeCell ref="E1:I1"/>
    <mergeCell ref="A2:J2"/>
    <mergeCell ref="A3:J3"/>
    <mergeCell ref="A8:B8"/>
    <mergeCell ref="H8:J8"/>
    <mergeCell ref="A5:L5"/>
  </mergeCells>
  <printOptions horizontalCentered="1"/>
  <pageMargins left="0.32" right="0.41" top="0.43" bottom="0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85" zoomScaleNormal="70" zoomScaleSheetLayoutView="85" zoomScalePageLayoutView="0" workbookViewId="0" topLeftCell="A16">
      <selection activeCell="M44" sqref="M44"/>
    </sheetView>
  </sheetViews>
  <sheetFormatPr defaultColWidth="9.140625" defaultRowHeight="12.75"/>
  <cols>
    <col min="1" max="1" width="8.00390625" style="6" customWidth="1"/>
    <col min="2" max="2" width="18.57421875" style="6" customWidth="1"/>
    <col min="3" max="3" width="9.7109375" style="6" customWidth="1"/>
    <col min="4" max="4" width="9.140625" style="6" customWidth="1"/>
    <col min="5" max="5" width="9.57421875" style="6" customWidth="1"/>
    <col min="6" max="6" width="9.7109375" style="6" customWidth="1"/>
    <col min="7" max="7" width="10.00390625" style="6" customWidth="1"/>
    <col min="8" max="8" width="9.8515625" style="6" customWidth="1"/>
    <col min="9" max="9" width="9.140625" style="6" customWidth="1"/>
    <col min="10" max="10" width="10.7109375" style="6" customWidth="1"/>
    <col min="11" max="11" width="8.8515625" style="6" customWidth="1"/>
    <col min="12" max="12" width="9.8515625" style="6" customWidth="1"/>
    <col min="13" max="13" width="8.8515625" style="6" customWidth="1"/>
    <col min="14" max="14" width="17.28125" style="6" customWidth="1"/>
    <col min="15" max="16384" width="9.140625" style="6" customWidth="1"/>
  </cols>
  <sheetData>
    <row r="1" spans="4:13" ht="12.75" customHeight="1">
      <c r="D1" s="560"/>
      <c r="E1" s="560"/>
      <c r="F1" s="560"/>
      <c r="G1" s="560"/>
      <c r="H1" s="560"/>
      <c r="I1" s="560"/>
      <c r="L1" s="641" t="s">
        <v>83</v>
      </c>
      <c r="M1" s="641"/>
    </row>
    <row r="2" spans="1:14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ht="11.25" customHeight="1"/>
    <row r="5" spans="1:14" ht="15.75">
      <c r="A5" s="562" t="s">
        <v>702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</row>
    <row r="7" spans="1:2" s="5" customFormat="1" ht="12.75">
      <c r="A7" s="21" t="s">
        <v>665</v>
      </c>
      <c r="B7" s="21"/>
    </row>
    <row r="8" spans="1:14" ht="12.75">
      <c r="A8" s="141"/>
      <c r="B8" s="141"/>
      <c r="K8" s="46"/>
      <c r="L8" s="342" t="s">
        <v>750</v>
      </c>
      <c r="M8" s="46"/>
      <c r="N8" s="171"/>
    </row>
    <row r="9" spans="1:14" ht="15.75" customHeight="1">
      <c r="A9" s="642" t="s">
        <v>2</v>
      </c>
      <c r="B9" s="642" t="s">
        <v>3</v>
      </c>
      <c r="C9" s="555" t="s">
        <v>4</v>
      </c>
      <c r="D9" s="555"/>
      <c r="E9" s="555"/>
      <c r="F9" s="541"/>
      <c r="G9" s="645"/>
      <c r="H9" s="603" t="s">
        <v>97</v>
      </c>
      <c r="I9" s="603"/>
      <c r="J9" s="603"/>
      <c r="K9" s="603"/>
      <c r="L9" s="603"/>
      <c r="M9" s="642" t="s">
        <v>130</v>
      </c>
      <c r="N9" s="530" t="s">
        <v>131</v>
      </c>
    </row>
    <row r="10" spans="1:19" ht="38.25">
      <c r="A10" s="643"/>
      <c r="B10" s="643"/>
      <c r="C10" s="1" t="s">
        <v>5</v>
      </c>
      <c r="D10" s="1" t="s">
        <v>6</v>
      </c>
      <c r="E10" s="1" t="s">
        <v>348</v>
      </c>
      <c r="F10" s="151" t="s">
        <v>95</v>
      </c>
      <c r="G10" s="2" t="s">
        <v>349</v>
      </c>
      <c r="H10" s="1" t="s">
        <v>5</v>
      </c>
      <c r="I10" s="1" t="s">
        <v>6</v>
      </c>
      <c r="J10" s="1" t="s">
        <v>348</v>
      </c>
      <c r="K10" s="151" t="s">
        <v>95</v>
      </c>
      <c r="L10" s="151" t="s">
        <v>350</v>
      </c>
      <c r="M10" s="643"/>
      <c r="N10" s="530"/>
      <c r="R10" s="10"/>
      <c r="S10" s="10"/>
    </row>
    <row r="11" spans="1:14" s="5" customFormat="1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</row>
    <row r="12" spans="1:14" ht="12.75">
      <c r="A12" s="201">
        <v>1</v>
      </c>
      <c r="B12" s="201" t="s">
        <v>633</v>
      </c>
      <c r="C12" s="8">
        <v>956</v>
      </c>
      <c r="D12" s="8">
        <v>2</v>
      </c>
      <c r="E12" s="8">
        <v>0</v>
      </c>
      <c r="F12" s="15">
        <v>6</v>
      </c>
      <c r="G12" s="203">
        <f>SUM(C12:F12)</f>
        <v>964</v>
      </c>
      <c r="H12" s="8">
        <v>913</v>
      </c>
      <c r="I12" s="8">
        <v>2</v>
      </c>
      <c r="J12" s="8">
        <v>0</v>
      </c>
      <c r="K12" s="8">
        <v>6</v>
      </c>
      <c r="L12" s="8">
        <f>SUM(H12:K12)</f>
        <v>921</v>
      </c>
      <c r="M12" s="8">
        <f>G12-L12</f>
        <v>43</v>
      </c>
      <c r="N12" s="8"/>
    </row>
    <row r="13" spans="1:14" ht="12.75">
      <c r="A13" s="201">
        <f>A12+1</f>
        <v>2</v>
      </c>
      <c r="B13" s="201" t="s">
        <v>598</v>
      </c>
      <c r="C13" s="8">
        <v>1004</v>
      </c>
      <c r="D13" s="8">
        <v>18</v>
      </c>
      <c r="E13" s="8">
        <v>14</v>
      </c>
      <c r="F13" s="15">
        <v>0</v>
      </c>
      <c r="G13" s="203">
        <f aca="true" t="shared" si="0" ref="G13:G42">SUM(C13:F13)</f>
        <v>1036</v>
      </c>
      <c r="H13" s="8">
        <v>993</v>
      </c>
      <c r="I13" s="8">
        <v>18</v>
      </c>
      <c r="J13" s="8">
        <v>14</v>
      </c>
      <c r="K13" s="8">
        <v>0</v>
      </c>
      <c r="L13" s="8">
        <f aca="true" t="shared" si="1" ref="L13:L42">SUM(H13:K13)</f>
        <v>1025</v>
      </c>
      <c r="M13" s="8">
        <f aca="true" t="shared" si="2" ref="M13:M42">G13-L13</f>
        <v>11</v>
      </c>
      <c r="N13" s="8"/>
    </row>
    <row r="14" spans="1:14" s="379" customFormat="1" ht="12.75">
      <c r="A14" s="271">
        <f aca="true" t="shared" si="3" ref="A14:A42">A13+1</f>
        <v>3</v>
      </c>
      <c r="B14" s="271" t="s">
        <v>634</v>
      </c>
      <c r="C14" s="373">
        <v>498</v>
      </c>
      <c r="D14" s="373">
        <v>111</v>
      </c>
      <c r="E14" s="373">
        <v>0</v>
      </c>
      <c r="F14" s="377">
        <v>2</v>
      </c>
      <c r="G14" s="378">
        <f t="shared" si="0"/>
        <v>611</v>
      </c>
      <c r="H14" s="373">
        <v>495</v>
      </c>
      <c r="I14" s="373">
        <v>90</v>
      </c>
      <c r="J14" s="373">
        <v>0</v>
      </c>
      <c r="K14" s="373">
        <v>0</v>
      </c>
      <c r="L14" s="373">
        <f t="shared" si="1"/>
        <v>585</v>
      </c>
      <c r="M14" s="8">
        <f t="shared" si="2"/>
        <v>26</v>
      </c>
      <c r="N14" s="380"/>
    </row>
    <row r="15" spans="1:14" ht="12.75">
      <c r="A15" s="201">
        <f t="shared" si="3"/>
        <v>4</v>
      </c>
      <c r="B15" s="201" t="s">
        <v>599</v>
      </c>
      <c r="C15" s="8">
        <v>511</v>
      </c>
      <c r="D15" s="8">
        <v>1</v>
      </c>
      <c r="E15" s="8">
        <v>0</v>
      </c>
      <c r="F15" s="15">
        <v>6</v>
      </c>
      <c r="G15" s="203">
        <f t="shared" si="0"/>
        <v>518</v>
      </c>
      <c r="H15" s="8">
        <v>511</v>
      </c>
      <c r="I15" s="8">
        <v>1</v>
      </c>
      <c r="J15" s="8">
        <v>0</v>
      </c>
      <c r="K15" s="8">
        <v>6</v>
      </c>
      <c r="L15" s="8">
        <f t="shared" si="1"/>
        <v>518</v>
      </c>
      <c r="M15" s="8">
        <f t="shared" si="2"/>
        <v>0</v>
      </c>
      <c r="N15" s="8"/>
    </row>
    <row r="16" spans="1:14" ht="12.75">
      <c r="A16" s="201">
        <f t="shared" si="3"/>
        <v>5</v>
      </c>
      <c r="B16" s="201" t="s">
        <v>600</v>
      </c>
      <c r="C16" s="8">
        <v>359</v>
      </c>
      <c r="D16" s="8">
        <v>5</v>
      </c>
      <c r="E16" s="8">
        <v>0</v>
      </c>
      <c r="F16" s="15">
        <v>0</v>
      </c>
      <c r="G16" s="203">
        <f t="shared" si="0"/>
        <v>364</v>
      </c>
      <c r="H16" s="8">
        <v>326</v>
      </c>
      <c r="I16" s="8">
        <v>5</v>
      </c>
      <c r="J16" s="8">
        <v>0</v>
      </c>
      <c r="K16" s="8">
        <v>0</v>
      </c>
      <c r="L16" s="8">
        <f t="shared" si="1"/>
        <v>331</v>
      </c>
      <c r="M16" s="8">
        <f t="shared" si="2"/>
        <v>33</v>
      </c>
      <c r="N16" s="8"/>
    </row>
    <row r="17" spans="1:14" ht="12.75">
      <c r="A17" s="201">
        <f t="shared" si="3"/>
        <v>6</v>
      </c>
      <c r="B17" s="201" t="s">
        <v>601</v>
      </c>
      <c r="C17" s="8">
        <v>688</v>
      </c>
      <c r="D17" s="8">
        <v>1</v>
      </c>
      <c r="E17" s="8">
        <v>1</v>
      </c>
      <c r="F17" s="15">
        <v>1</v>
      </c>
      <c r="G17" s="203">
        <f t="shared" si="0"/>
        <v>691</v>
      </c>
      <c r="H17" s="8">
        <v>619</v>
      </c>
      <c r="I17" s="8">
        <v>1</v>
      </c>
      <c r="J17" s="8">
        <v>1</v>
      </c>
      <c r="K17" s="8">
        <v>1</v>
      </c>
      <c r="L17" s="8">
        <f t="shared" si="1"/>
        <v>622</v>
      </c>
      <c r="M17" s="8">
        <f t="shared" si="2"/>
        <v>69</v>
      </c>
      <c r="N17" s="8"/>
    </row>
    <row r="18" spans="1:14" ht="12.75">
      <c r="A18" s="201">
        <f t="shared" si="3"/>
        <v>7</v>
      </c>
      <c r="B18" s="201" t="s">
        <v>602</v>
      </c>
      <c r="C18" s="8">
        <v>288</v>
      </c>
      <c r="D18" s="8">
        <v>0</v>
      </c>
      <c r="E18" s="8">
        <v>0</v>
      </c>
      <c r="F18" s="15">
        <v>0</v>
      </c>
      <c r="G18" s="203">
        <f t="shared" si="0"/>
        <v>288</v>
      </c>
      <c r="H18" s="8">
        <v>288</v>
      </c>
      <c r="I18" s="8">
        <v>0</v>
      </c>
      <c r="J18" s="8">
        <v>0</v>
      </c>
      <c r="K18" s="8">
        <v>0</v>
      </c>
      <c r="L18" s="8">
        <f t="shared" si="1"/>
        <v>288</v>
      </c>
      <c r="M18" s="8">
        <f t="shared" si="2"/>
        <v>0</v>
      </c>
      <c r="N18" s="8"/>
    </row>
    <row r="19" spans="1:14" ht="12.75">
      <c r="A19" s="201">
        <f t="shared" si="3"/>
        <v>8</v>
      </c>
      <c r="B19" s="201" t="s">
        <v>603</v>
      </c>
      <c r="C19" s="8">
        <v>697</v>
      </c>
      <c r="D19" s="8">
        <v>2</v>
      </c>
      <c r="E19" s="8">
        <v>3</v>
      </c>
      <c r="F19" s="15">
        <v>1</v>
      </c>
      <c r="G19" s="203">
        <f t="shared" si="0"/>
        <v>703</v>
      </c>
      <c r="H19" s="8">
        <v>682</v>
      </c>
      <c r="I19" s="8">
        <v>2</v>
      </c>
      <c r="J19" s="8">
        <v>3</v>
      </c>
      <c r="K19" s="8">
        <v>0</v>
      </c>
      <c r="L19" s="8">
        <f t="shared" si="1"/>
        <v>687</v>
      </c>
      <c r="M19" s="8">
        <f t="shared" si="2"/>
        <v>16</v>
      </c>
      <c r="N19" s="8"/>
    </row>
    <row r="20" spans="1:14" ht="12.75">
      <c r="A20" s="201">
        <f t="shared" si="3"/>
        <v>9</v>
      </c>
      <c r="B20" s="201" t="s">
        <v>604</v>
      </c>
      <c r="C20" s="8">
        <v>423</v>
      </c>
      <c r="D20" s="8">
        <v>3</v>
      </c>
      <c r="E20" s="8">
        <v>0</v>
      </c>
      <c r="F20" s="15">
        <v>6</v>
      </c>
      <c r="G20" s="203">
        <f t="shared" si="0"/>
        <v>432</v>
      </c>
      <c r="H20" s="8">
        <v>423</v>
      </c>
      <c r="I20" s="8">
        <v>3</v>
      </c>
      <c r="J20" s="8">
        <v>0</v>
      </c>
      <c r="K20" s="8">
        <v>6</v>
      </c>
      <c r="L20" s="8">
        <f t="shared" si="1"/>
        <v>432</v>
      </c>
      <c r="M20" s="8">
        <f t="shared" si="2"/>
        <v>0</v>
      </c>
      <c r="N20" s="8"/>
    </row>
    <row r="21" spans="1:14" ht="12.75">
      <c r="A21" s="201">
        <f t="shared" si="3"/>
        <v>10</v>
      </c>
      <c r="B21" s="201" t="s">
        <v>605</v>
      </c>
      <c r="C21" s="8">
        <v>825</v>
      </c>
      <c r="D21" s="8">
        <v>11</v>
      </c>
      <c r="E21" s="8">
        <v>3</v>
      </c>
      <c r="F21" s="15">
        <v>1</v>
      </c>
      <c r="G21" s="203">
        <f t="shared" si="0"/>
        <v>840</v>
      </c>
      <c r="H21" s="8">
        <v>825</v>
      </c>
      <c r="I21" s="8">
        <v>11</v>
      </c>
      <c r="J21" s="8">
        <v>3</v>
      </c>
      <c r="K21" s="8">
        <v>1</v>
      </c>
      <c r="L21" s="8">
        <f t="shared" si="1"/>
        <v>840</v>
      </c>
      <c r="M21" s="8">
        <f t="shared" si="2"/>
        <v>0</v>
      </c>
      <c r="N21" s="8"/>
    </row>
    <row r="22" spans="1:14" ht="12.75">
      <c r="A22" s="201">
        <f t="shared" si="3"/>
        <v>11</v>
      </c>
      <c r="B22" s="201" t="s">
        <v>635</v>
      </c>
      <c r="C22" s="8">
        <v>885</v>
      </c>
      <c r="D22" s="8">
        <v>4</v>
      </c>
      <c r="E22" s="8">
        <v>0</v>
      </c>
      <c r="F22" s="15">
        <v>9</v>
      </c>
      <c r="G22" s="203">
        <f t="shared" si="0"/>
        <v>898</v>
      </c>
      <c r="H22" s="8">
        <v>856</v>
      </c>
      <c r="I22" s="8">
        <v>4</v>
      </c>
      <c r="J22" s="8">
        <v>0</v>
      </c>
      <c r="K22" s="8">
        <v>9</v>
      </c>
      <c r="L22" s="8">
        <f t="shared" si="1"/>
        <v>869</v>
      </c>
      <c r="M22" s="8">
        <f t="shared" si="2"/>
        <v>29</v>
      </c>
      <c r="N22" s="8"/>
    </row>
    <row r="23" spans="1:14" ht="12.75">
      <c r="A23" s="201">
        <f t="shared" si="3"/>
        <v>12</v>
      </c>
      <c r="B23" s="201" t="s">
        <v>606</v>
      </c>
      <c r="C23" s="8">
        <v>774</v>
      </c>
      <c r="D23" s="8">
        <v>3</v>
      </c>
      <c r="E23" s="8">
        <v>5</v>
      </c>
      <c r="F23" s="15">
        <v>2</v>
      </c>
      <c r="G23" s="203">
        <f t="shared" si="0"/>
        <v>784</v>
      </c>
      <c r="H23" s="8">
        <v>683</v>
      </c>
      <c r="I23" s="8">
        <v>3</v>
      </c>
      <c r="J23" s="8">
        <v>5</v>
      </c>
      <c r="K23" s="8">
        <v>2</v>
      </c>
      <c r="L23" s="8">
        <f t="shared" si="1"/>
        <v>693</v>
      </c>
      <c r="M23" s="8">
        <f t="shared" si="2"/>
        <v>91</v>
      </c>
      <c r="N23" s="8"/>
    </row>
    <row r="24" spans="1:14" ht="12.75">
      <c r="A24" s="201">
        <f t="shared" si="3"/>
        <v>13</v>
      </c>
      <c r="B24" s="201" t="s">
        <v>607</v>
      </c>
      <c r="C24" s="8">
        <v>971</v>
      </c>
      <c r="D24" s="8">
        <v>7</v>
      </c>
      <c r="E24" s="8">
        <v>24</v>
      </c>
      <c r="F24" s="15">
        <v>15</v>
      </c>
      <c r="G24" s="203">
        <f t="shared" si="0"/>
        <v>1017</v>
      </c>
      <c r="H24" s="8">
        <v>918</v>
      </c>
      <c r="I24" s="8">
        <v>3</v>
      </c>
      <c r="J24" s="8">
        <v>1</v>
      </c>
      <c r="K24" s="8">
        <v>11</v>
      </c>
      <c r="L24" s="8">
        <f t="shared" si="1"/>
        <v>933</v>
      </c>
      <c r="M24" s="8">
        <f t="shared" si="2"/>
        <v>84</v>
      </c>
      <c r="N24" s="8"/>
    </row>
    <row r="25" spans="1:14" ht="12.75">
      <c r="A25" s="201">
        <f t="shared" si="3"/>
        <v>14</v>
      </c>
      <c r="B25" s="201" t="s">
        <v>636</v>
      </c>
      <c r="C25" s="8">
        <v>562</v>
      </c>
      <c r="D25" s="8">
        <v>4</v>
      </c>
      <c r="E25" s="8">
        <v>0</v>
      </c>
      <c r="F25" s="15">
        <v>3</v>
      </c>
      <c r="G25" s="203">
        <f t="shared" si="0"/>
        <v>569</v>
      </c>
      <c r="H25" s="8">
        <v>543</v>
      </c>
      <c r="I25" s="8">
        <v>4</v>
      </c>
      <c r="J25" s="8">
        <v>3</v>
      </c>
      <c r="K25" s="8">
        <v>0</v>
      </c>
      <c r="L25" s="8">
        <f t="shared" si="1"/>
        <v>550</v>
      </c>
      <c r="M25" s="8">
        <f t="shared" si="2"/>
        <v>19</v>
      </c>
      <c r="N25" s="8"/>
    </row>
    <row r="26" spans="1:14" ht="12.75">
      <c r="A26" s="201">
        <f t="shared" si="3"/>
        <v>15</v>
      </c>
      <c r="B26" s="201" t="s">
        <v>608</v>
      </c>
      <c r="C26" s="8">
        <v>624</v>
      </c>
      <c r="D26" s="8">
        <v>1</v>
      </c>
      <c r="E26" s="8">
        <v>0</v>
      </c>
      <c r="F26" s="15">
        <v>3</v>
      </c>
      <c r="G26" s="203">
        <f t="shared" si="0"/>
        <v>628</v>
      </c>
      <c r="H26" s="8">
        <v>624</v>
      </c>
      <c r="I26" s="8">
        <v>1</v>
      </c>
      <c r="J26" s="8">
        <v>0</v>
      </c>
      <c r="K26" s="8">
        <v>3</v>
      </c>
      <c r="L26" s="8">
        <f t="shared" si="1"/>
        <v>628</v>
      </c>
      <c r="M26" s="8">
        <f t="shared" si="2"/>
        <v>0</v>
      </c>
      <c r="N26" s="8"/>
    </row>
    <row r="27" spans="1:14" ht="12.75">
      <c r="A27" s="201">
        <f t="shared" si="3"/>
        <v>16</v>
      </c>
      <c r="B27" s="201" t="s">
        <v>609</v>
      </c>
      <c r="C27" s="8">
        <v>371</v>
      </c>
      <c r="D27" s="8">
        <v>2</v>
      </c>
      <c r="E27" s="8">
        <v>0</v>
      </c>
      <c r="F27" s="15">
        <v>4</v>
      </c>
      <c r="G27" s="203">
        <f t="shared" si="0"/>
        <v>377</v>
      </c>
      <c r="H27" s="8">
        <v>366</v>
      </c>
      <c r="I27" s="8">
        <v>2</v>
      </c>
      <c r="J27" s="8">
        <v>0</v>
      </c>
      <c r="K27" s="8">
        <v>4</v>
      </c>
      <c r="L27" s="8">
        <f t="shared" si="1"/>
        <v>372</v>
      </c>
      <c r="M27" s="8">
        <f t="shared" si="2"/>
        <v>5</v>
      </c>
      <c r="N27" s="8"/>
    </row>
    <row r="28" spans="1:14" ht="12.75">
      <c r="A28" s="201">
        <f>A27+1</f>
        <v>17</v>
      </c>
      <c r="B28" s="201" t="s">
        <v>610</v>
      </c>
      <c r="C28" s="8">
        <v>602</v>
      </c>
      <c r="D28" s="8">
        <v>6</v>
      </c>
      <c r="E28" s="8">
        <v>1</v>
      </c>
      <c r="F28" s="15">
        <v>1</v>
      </c>
      <c r="G28" s="203">
        <f t="shared" si="0"/>
        <v>610</v>
      </c>
      <c r="H28" s="8">
        <v>564</v>
      </c>
      <c r="I28" s="8">
        <v>6</v>
      </c>
      <c r="J28" s="8">
        <v>1</v>
      </c>
      <c r="K28" s="8">
        <v>1</v>
      </c>
      <c r="L28" s="8">
        <f t="shared" si="1"/>
        <v>572</v>
      </c>
      <c r="M28" s="8">
        <f t="shared" si="2"/>
        <v>38</v>
      </c>
      <c r="N28" s="8"/>
    </row>
    <row r="29" spans="1:14" ht="12.75">
      <c r="A29" s="201">
        <f t="shared" si="3"/>
        <v>18</v>
      </c>
      <c r="B29" s="201" t="s">
        <v>611</v>
      </c>
      <c r="C29" s="8">
        <v>1130</v>
      </c>
      <c r="D29" s="8">
        <v>32</v>
      </c>
      <c r="E29" s="8">
        <v>0</v>
      </c>
      <c r="F29" s="15">
        <v>9</v>
      </c>
      <c r="G29" s="203">
        <f t="shared" si="0"/>
        <v>1171</v>
      </c>
      <c r="H29" s="8">
        <v>1007</v>
      </c>
      <c r="I29" s="8">
        <v>22</v>
      </c>
      <c r="J29" s="8">
        <v>0</v>
      </c>
      <c r="K29" s="8">
        <v>9</v>
      </c>
      <c r="L29" s="8">
        <f t="shared" si="1"/>
        <v>1038</v>
      </c>
      <c r="M29" s="8">
        <f t="shared" si="2"/>
        <v>133</v>
      </c>
      <c r="N29" s="8"/>
    </row>
    <row r="30" spans="1:14" ht="12.75">
      <c r="A30" s="201">
        <f>A29+1</f>
        <v>19</v>
      </c>
      <c r="B30" s="201" t="s">
        <v>637</v>
      </c>
      <c r="C30" s="8">
        <v>574</v>
      </c>
      <c r="D30" s="8">
        <v>0</v>
      </c>
      <c r="E30" s="8">
        <v>0</v>
      </c>
      <c r="F30" s="15">
        <v>0</v>
      </c>
      <c r="G30" s="203">
        <f t="shared" si="0"/>
        <v>574</v>
      </c>
      <c r="H30" s="8">
        <v>574</v>
      </c>
      <c r="I30" s="8">
        <v>0</v>
      </c>
      <c r="J30" s="8">
        <v>0</v>
      </c>
      <c r="K30" s="8">
        <v>0</v>
      </c>
      <c r="L30" s="8">
        <f t="shared" si="1"/>
        <v>574</v>
      </c>
      <c r="M30" s="8">
        <f t="shared" si="2"/>
        <v>0</v>
      </c>
      <c r="N30" s="8"/>
    </row>
    <row r="31" spans="1:14" ht="12.75">
      <c r="A31" s="201">
        <f t="shared" si="3"/>
        <v>20</v>
      </c>
      <c r="B31" s="201" t="s">
        <v>612</v>
      </c>
      <c r="C31" s="8">
        <v>766</v>
      </c>
      <c r="D31" s="8">
        <v>19</v>
      </c>
      <c r="E31" s="8">
        <v>10</v>
      </c>
      <c r="F31" s="15">
        <v>0</v>
      </c>
      <c r="G31" s="203">
        <f t="shared" si="0"/>
        <v>795</v>
      </c>
      <c r="H31" s="8">
        <v>755</v>
      </c>
      <c r="I31" s="8">
        <v>18</v>
      </c>
      <c r="J31" s="8">
        <v>10</v>
      </c>
      <c r="K31" s="8">
        <v>0</v>
      </c>
      <c r="L31" s="8">
        <f t="shared" si="1"/>
        <v>783</v>
      </c>
      <c r="M31" s="8">
        <f t="shared" si="2"/>
        <v>12</v>
      </c>
      <c r="N31" s="8"/>
    </row>
    <row r="32" spans="1:14" ht="12.75">
      <c r="A32" s="201">
        <f t="shared" si="3"/>
        <v>21</v>
      </c>
      <c r="B32" s="201" t="s">
        <v>613</v>
      </c>
      <c r="C32" s="8">
        <v>359</v>
      </c>
      <c r="D32" s="8">
        <v>2</v>
      </c>
      <c r="E32" s="8">
        <v>0</v>
      </c>
      <c r="F32" s="15">
        <v>1</v>
      </c>
      <c r="G32" s="203">
        <f t="shared" si="0"/>
        <v>362</v>
      </c>
      <c r="H32" s="8">
        <v>349</v>
      </c>
      <c r="I32" s="8">
        <v>1</v>
      </c>
      <c r="J32" s="8">
        <v>0</v>
      </c>
      <c r="K32" s="8">
        <v>1</v>
      </c>
      <c r="L32" s="8">
        <f t="shared" si="1"/>
        <v>351</v>
      </c>
      <c r="M32" s="8">
        <f t="shared" si="2"/>
        <v>11</v>
      </c>
      <c r="N32" s="8"/>
    </row>
    <row r="33" spans="1:14" ht="12.75">
      <c r="A33" s="201">
        <f t="shared" si="3"/>
        <v>22</v>
      </c>
      <c r="B33" s="201" t="s">
        <v>614</v>
      </c>
      <c r="C33" s="8">
        <v>339</v>
      </c>
      <c r="D33" s="8">
        <v>1</v>
      </c>
      <c r="E33" s="8">
        <v>0</v>
      </c>
      <c r="F33" s="15">
        <v>1</v>
      </c>
      <c r="G33" s="203">
        <f t="shared" si="0"/>
        <v>341</v>
      </c>
      <c r="H33" s="8">
        <v>339</v>
      </c>
      <c r="I33" s="8">
        <v>1</v>
      </c>
      <c r="J33" s="8">
        <v>0</v>
      </c>
      <c r="K33" s="8">
        <v>1</v>
      </c>
      <c r="L33" s="8">
        <f t="shared" si="1"/>
        <v>341</v>
      </c>
      <c r="M33" s="8">
        <f t="shared" si="2"/>
        <v>0</v>
      </c>
      <c r="N33" s="8"/>
    </row>
    <row r="34" spans="1:14" ht="12.75">
      <c r="A34" s="201">
        <f t="shared" si="3"/>
        <v>23</v>
      </c>
      <c r="B34" s="201" t="s">
        <v>615</v>
      </c>
      <c r="C34" s="8">
        <v>881</v>
      </c>
      <c r="D34" s="8">
        <v>2</v>
      </c>
      <c r="E34" s="8">
        <v>0</v>
      </c>
      <c r="F34" s="15">
        <v>16</v>
      </c>
      <c r="G34" s="203">
        <f t="shared" si="0"/>
        <v>899</v>
      </c>
      <c r="H34" s="8">
        <v>858</v>
      </c>
      <c r="I34" s="8">
        <v>2</v>
      </c>
      <c r="J34" s="8">
        <v>0</v>
      </c>
      <c r="K34" s="8">
        <v>16</v>
      </c>
      <c r="L34" s="8">
        <f t="shared" si="1"/>
        <v>876</v>
      </c>
      <c r="M34" s="8">
        <f t="shared" si="2"/>
        <v>23</v>
      </c>
      <c r="N34" s="8"/>
    </row>
    <row r="35" spans="1:14" ht="12.75">
      <c r="A35" s="201">
        <f t="shared" si="3"/>
        <v>24</v>
      </c>
      <c r="B35" s="201" t="s">
        <v>616</v>
      </c>
      <c r="C35" s="8">
        <v>860</v>
      </c>
      <c r="D35" s="8">
        <v>2</v>
      </c>
      <c r="E35" s="8">
        <v>0</v>
      </c>
      <c r="F35" s="15">
        <v>11</v>
      </c>
      <c r="G35" s="203">
        <f t="shared" si="0"/>
        <v>873</v>
      </c>
      <c r="H35" s="8">
        <v>860</v>
      </c>
      <c r="I35" s="8">
        <v>2</v>
      </c>
      <c r="J35" s="8">
        <v>0</v>
      </c>
      <c r="K35" s="8">
        <v>11</v>
      </c>
      <c r="L35" s="8">
        <f t="shared" si="1"/>
        <v>873</v>
      </c>
      <c r="M35" s="8">
        <f t="shared" si="2"/>
        <v>0</v>
      </c>
      <c r="N35" s="8"/>
    </row>
    <row r="36" spans="1:14" ht="12.75">
      <c r="A36" s="201">
        <f t="shared" si="3"/>
        <v>25</v>
      </c>
      <c r="B36" s="201" t="s">
        <v>617</v>
      </c>
      <c r="C36" s="8">
        <v>636</v>
      </c>
      <c r="D36" s="8">
        <v>1</v>
      </c>
      <c r="E36" s="8">
        <v>0</v>
      </c>
      <c r="F36" s="15">
        <v>2</v>
      </c>
      <c r="G36" s="203">
        <f t="shared" si="0"/>
        <v>639</v>
      </c>
      <c r="H36" s="8">
        <v>636</v>
      </c>
      <c r="I36" s="8">
        <v>1</v>
      </c>
      <c r="J36" s="8">
        <v>0</v>
      </c>
      <c r="K36" s="8">
        <v>2</v>
      </c>
      <c r="L36" s="8">
        <f t="shared" si="1"/>
        <v>639</v>
      </c>
      <c r="M36" s="8">
        <f t="shared" si="2"/>
        <v>0</v>
      </c>
      <c r="N36" s="8"/>
    </row>
    <row r="37" spans="1:14" ht="12.75">
      <c r="A37" s="201">
        <f t="shared" si="3"/>
        <v>26</v>
      </c>
      <c r="B37" s="201" t="s">
        <v>618</v>
      </c>
      <c r="C37" s="8">
        <v>687</v>
      </c>
      <c r="D37" s="8">
        <v>10</v>
      </c>
      <c r="E37" s="8">
        <v>0</v>
      </c>
      <c r="F37" s="15">
        <v>5</v>
      </c>
      <c r="G37" s="203">
        <f t="shared" si="0"/>
        <v>702</v>
      </c>
      <c r="H37" s="8">
        <v>675</v>
      </c>
      <c r="I37" s="8">
        <v>10</v>
      </c>
      <c r="J37" s="8">
        <v>0</v>
      </c>
      <c r="K37" s="8">
        <v>5</v>
      </c>
      <c r="L37" s="8">
        <f t="shared" si="1"/>
        <v>690</v>
      </c>
      <c r="M37" s="8">
        <f t="shared" si="2"/>
        <v>12</v>
      </c>
      <c r="N37" s="8"/>
    </row>
    <row r="38" spans="1:14" ht="12.75">
      <c r="A38" s="201">
        <f t="shared" si="3"/>
        <v>27</v>
      </c>
      <c r="B38" s="201" t="s">
        <v>619</v>
      </c>
      <c r="C38" s="8">
        <v>754</v>
      </c>
      <c r="D38" s="8">
        <v>2</v>
      </c>
      <c r="E38" s="8">
        <v>0</v>
      </c>
      <c r="F38" s="15">
        <v>0</v>
      </c>
      <c r="G38" s="203">
        <f t="shared" si="0"/>
        <v>756</v>
      </c>
      <c r="H38" s="8">
        <v>731</v>
      </c>
      <c r="I38" s="8">
        <v>2</v>
      </c>
      <c r="J38" s="8">
        <v>0</v>
      </c>
      <c r="K38" s="8">
        <v>0</v>
      </c>
      <c r="L38" s="8">
        <v>733</v>
      </c>
      <c r="M38" s="8">
        <f t="shared" si="2"/>
        <v>23</v>
      </c>
      <c r="N38" s="8"/>
    </row>
    <row r="39" spans="1:14" ht="12.75">
      <c r="A39" s="201">
        <f t="shared" si="3"/>
        <v>28</v>
      </c>
      <c r="B39" s="143" t="s">
        <v>620</v>
      </c>
      <c r="C39" s="8">
        <v>361</v>
      </c>
      <c r="D39" s="8">
        <v>2</v>
      </c>
      <c r="E39" s="8">
        <v>0</v>
      </c>
      <c r="F39" s="15">
        <v>0</v>
      </c>
      <c r="G39" s="203">
        <f t="shared" si="0"/>
        <v>363</v>
      </c>
      <c r="H39" s="8">
        <v>349</v>
      </c>
      <c r="I39" s="8">
        <v>2</v>
      </c>
      <c r="J39" s="8">
        <v>0</v>
      </c>
      <c r="K39" s="8">
        <v>0</v>
      </c>
      <c r="L39" s="8">
        <f t="shared" si="1"/>
        <v>351</v>
      </c>
      <c r="M39" s="8">
        <f t="shared" si="2"/>
        <v>12</v>
      </c>
      <c r="N39" s="8"/>
    </row>
    <row r="40" spans="1:14" ht="12.75">
      <c r="A40" s="201">
        <f t="shared" si="3"/>
        <v>29</v>
      </c>
      <c r="B40" s="143" t="s">
        <v>621</v>
      </c>
      <c r="C40" s="8">
        <v>468</v>
      </c>
      <c r="D40" s="8">
        <v>3</v>
      </c>
      <c r="E40" s="8">
        <v>0</v>
      </c>
      <c r="F40" s="15">
        <v>2</v>
      </c>
      <c r="G40" s="203">
        <f t="shared" si="0"/>
        <v>473</v>
      </c>
      <c r="H40" s="8">
        <v>428</v>
      </c>
      <c r="I40" s="8">
        <v>4</v>
      </c>
      <c r="J40" s="8">
        <v>0</v>
      </c>
      <c r="K40" s="8">
        <v>0</v>
      </c>
      <c r="L40" s="8">
        <f t="shared" si="1"/>
        <v>432</v>
      </c>
      <c r="M40" s="8">
        <f t="shared" si="2"/>
        <v>41</v>
      </c>
      <c r="N40" s="8"/>
    </row>
    <row r="41" spans="1:14" ht="12.75">
      <c r="A41" s="201">
        <f t="shared" si="3"/>
        <v>30</v>
      </c>
      <c r="B41" s="143" t="s">
        <v>622</v>
      </c>
      <c r="C41" s="8">
        <v>305</v>
      </c>
      <c r="D41" s="8">
        <v>33</v>
      </c>
      <c r="E41" s="8">
        <v>0</v>
      </c>
      <c r="F41" s="15">
        <v>16</v>
      </c>
      <c r="G41" s="203">
        <f t="shared" si="0"/>
        <v>354</v>
      </c>
      <c r="H41" s="8">
        <v>289</v>
      </c>
      <c r="I41" s="8">
        <v>22</v>
      </c>
      <c r="J41" s="8">
        <v>0</v>
      </c>
      <c r="K41" s="8">
        <v>12</v>
      </c>
      <c r="L41" s="8">
        <f t="shared" si="1"/>
        <v>323</v>
      </c>
      <c r="M41" s="8">
        <f t="shared" si="2"/>
        <v>31</v>
      </c>
      <c r="N41" s="8"/>
    </row>
    <row r="42" spans="1:14" ht="12.75">
      <c r="A42" s="201">
        <f t="shared" si="3"/>
        <v>31</v>
      </c>
      <c r="B42" s="143" t="s">
        <v>623</v>
      </c>
      <c r="C42" s="8">
        <v>466</v>
      </c>
      <c r="D42" s="8">
        <v>7</v>
      </c>
      <c r="E42" s="8">
        <v>0</v>
      </c>
      <c r="F42" s="8">
        <v>0</v>
      </c>
      <c r="G42" s="203">
        <f t="shared" si="0"/>
        <v>473</v>
      </c>
      <c r="H42" s="8">
        <v>450</v>
      </c>
      <c r="I42" s="8">
        <v>3</v>
      </c>
      <c r="J42" s="8">
        <v>0</v>
      </c>
      <c r="K42" s="8">
        <v>0</v>
      </c>
      <c r="L42" s="8">
        <f t="shared" si="1"/>
        <v>453</v>
      </c>
      <c r="M42" s="8">
        <f t="shared" si="2"/>
        <v>20</v>
      </c>
      <c r="N42" s="8"/>
    </row>
    <row r="43" spans="1:14" s="5" customFormat="1" ht="12.75">
      <c r="A43" s="150"/>
      <c r="B43" s="150" t="s">
        <v>624</v>
      </c>
      <c r="C43" s="17">
        <f>SUM(C12:C42)</f>
        <v>19624</v>
      </c>
      <c r="D43" s="17">
        <f aca="true" t="shared" si="4" ref="D43:M43">SUM(D12:D42)</f>
        <v>297</v>
      </c>
      <c r="E43" s="17">
        <f t="shared" si="4"/>
        <v>61</v>
      </c>
      <c r="F43" s="17">
        <f t="shared" si="4"/>
        <v>123</v>
      </c>
      <c r="G43" s="17">
        <f t="shared" si="4"/>
        <v>20105</v>
      </c>
      <c r="H43" s="17">
        <f t="shared" si="4"/>
        <v>18929</v>
      </c>
      <c r="I43" s="17">
        <f t="shared" si="4"/>
        <v>246</v>
      </c>
      <c r="J43" s="17">
        <f t="shared" si="4"/>
        <v>41</v>
      </c>
      <c r="K43" s="17">
        <f t="shared" si="4"/>
        <v>107</v>
      </c>
      <c r="L43" s="17">
        <f t="shared" si="4"/>
        <v>19323</v>
      </c>
      <c r="M43" s="17">
        <f t="shared" si="4"/>
        <v>782</v>
      </c>
      <c r="N43" s="17" t="s">
        <v>867</v>
      </c>
    </row>
    <row r="44" ht="12.75">
      <c r="A44" s="9" t="s">
        <v>8</v>
      </c>
    </row>
    <row r="45" ht="12.75">
      <c r="A45" s="6" t="s">
        <v>9</v>
      </c>
    </row>
    <row r="46" spans="1:12" ht="12.75">
      <c r="A46" s="6" t="s">
        <v>10</v>
      </c>
      <c r="J46" s="3" t="s">
        <v>11</v>
      </c>
      <c r="K46" s="3"/>
      <c r="L46" s="3" t="s">
        <v>11</v>
      </c>
    </row>
    <row r="47" spans="1:12" ht="12.75">
      <c r="A47" s="6" t="s">
        <v>421</v>
      </c>
      <c r="J47" s="3"/>
      <c r="K47" s="3"/>
      <c r="L47" s="3"/>
    </row>
    <row r="48" spans="3:13" ht="12.75">
      <c r="C48" s="6" t="s">
        <v>422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5:13" ht="12.75"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644"/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</row>
    <row r="52" spans="10:14" ht="15.75">
      <c r="J52" s="621" t="s">
        <v>860</v>
      </c>
      <c r="K52" s="621"/>
      <c r="L52" s="621"/>
      <c r="M52" s="621"/>
      <c r="N52" s="621"/>
    </row>
    <row r="53" spans="10:14" ht="15.75">
      <c r="J53" s="621" t="s">
        <v>653</v>
      </c>
      <c r="K53" s="621"/>
      <c r="L53" s="621"/>
      <c r="M53" s="621"/>
      <c r="N53" s="621"/>
    </row>
  </sheetData>
  <sheetProtection/>
  <mergeCells count="14">
    <mergeCell ref="J52:N52"/>
    <mergeCell ref="J53:N53"/>
    <mergeCell ref="A2:N2"/>
    <mergeCell ref="A3:N3"/>
    <mergeCell ref="A5:N5"/>
    <mergeCell ref="M9:M10"/>
    <mergeCell ref="N9:N10"/>
    <mergeCell ref="D1:I1"/>
    <mergeCell ref="L1:M1"/>
    <mergeCell ref="B9:B10"/>
    <mergeCell ref="A9:A10"/>
    <mergeCell ref="A50:M50"/>
    <mergeCell ref="H9:L9"/>
    <mergeCell ref="C9:G9"/>
  </mergeCells>
  <printOptions horizontalCentered="1"/>
  <pageMargins left="0.38" right="0.45" top="0.35" bottom="0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85" zoomScaleNormal="70" zoomScaleSheetLayoutView="85" zoomScalePageLayoutView="0" workbookViewId="0" topLeftCell="A12">
      <selection activeCell="G42" sqref="G42:G43"/>
    </sheetView>
  </sheetViews>
  <sheetFormatPr defaultColWidth="9.140625" defaultRowHeight="12.75"/>
  <cols>
    <col min="1" max="1" width="7.57421875" style="6" customWidth="1"/>
    <col min="2" max="2" width="18.57421875" style="6" customWidth="1"/>
    <col min="3" max="3" width="9.7109375" style="6" customWidth="1"/>
    <col min="4" max="4" width="9.140625" style="6" customWidth="1"/>
    <col min="5" max="5" width="9.57421875" style="6" customWidth="1"/>
    <col min="6" max="6" width="7.57421875" style="6" customWidth="1"/>
    <col min="7" max="7" width="8.421875" style="6" customWidth="1"/>
    <col min="8" max="8" width="10.57421875" style="6" customWidth="1"/>
    <col min="9" max="9" width="9.8515625" style="6" customWidth="1"/>
    <col min="10" max="11" width="9.140625" style="6" customWidth="1"/>
    <col min="12" max="12" width="7.57421875" style="6" customWidth="1"/>
    <col min="13" max="13" width="12.28125" style="6" customWidth="1"/>
    <col min="14" max="14" width="15.8515625" style="6" customWidth="1"/>
    <col min="15" max="16384" width="9.140625" style="6" customWidth="1"/>
  </cols>
  <sheetData>
    <row r="1" spans="4:13" ht="12.75" customHeight="1">
      <c r="D1" s="560"/>
      <c r="E1" s="560"/>
      <c r="F1" s="560"/>
      <c r="G1" s="560"/>
      <c r="H1" s="560"/>
      <c r="I1" s="560"/>
      <c r="J1" s="560"/>
      <c r="K1" s="158"/>
      <c r="M1" s="167" t="s">
        <v>84</v>
      </c>
    </row>
    <row r="2" spans="1:14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ht="11.25" customHeight="1"/>
    <row r="5" spans="1:14" ht="15.75">
      <c r="A5" s="564" t="s">
        <v>703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</row>
    <row r="7" spans="1:14" s="5" customFormat="1" ht="12.75">
      <c r="A7" s="21" t="s">
        <v>665</v>
      </c>
      <c r="B7" s="21"/>
      <c r="L7" s="646" t="s">
        <v>750</v>
      </c>
      <c r="M7" s="646"/>
      <c r="N7" s="646"/>
    </row>
    <row r="8" spans="1:14" ht="15.75" customHeight="1">
      <c r="A8" s="642" t="s">
        <v>2</v>
      </c>
      <c r="B8" s="642" t="s">
        <v>3</v>
      </c>
      <c r="C8" s="555" t="s">
        <v>4</v>
      </c>
      <c r="D8" s="555"/>
      <c r="E8" s="555"/>
      <c r="F8" s="555"/>
      <c r="G8" s="555"/>
      <c r="H8" s="555" t="s">
        <v>97</v>
      </c>
      <c r="I8" s="555"/>
      <c r="J8" s="555"/>
      <c r="K8" s="555"/>
      <c r="L8" s="555"/>
      <c r="M8" s="642" t="s">
        <v>130</v>
      </c>
      <c r="N8" s="530" t="s">
        <v>131</v>
      </c>
    </row>
    <row r="9" spans="1:19" ht="51">
      <c r="A9" s="643"/>
      <c r="B9" s="643"/>
      <c r="C9" s="1" t="s">
        <v>5</v>
      </c>
      <c r="D9" s="1" t="s">
        <v>6</v>
      </c>
      <c r="E9" s="1" t="s">
        <v>348</v>
      </c>
      <c r="F9" s="1" t="s">
        <v>95</v>
      </c>
      <c r="G9" s="1" t="s">
        <v>204</v>
      </c>
      <c r="H9" s="1" t="s">
        <v>5</v>
      </c>
      <c r="I9" s="1" t="s">
        <v>6</v>
      </c>
      <c r="J9" s="1" t="s">
        <v>348</v>
      </c>
      <c r="K9" s="1" t="s">
        <v>95</v>
      </c>
      <c r="L9" s="1" t="s">
        <v>203</v>
      </c>
      <c r="M9" s="643"/>
      <c r="N9" s="530"/>
      <c r="R9" s="8"/>
      <c r="S9" s="10"/>
    </row>
    <row r="10" spans="1:14" s="5" customFormat="1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201">
        <v>1</v>
      </c>
      <c r="B11" s="201" t="s">
        <v>633</v>
      </c>
      <c r="C11" s="8">
        <v>110</v>
      </c>
      <c r="D11" s="8">
        <v>0</v>
      </c>
      <c r="E11" s="8">
        <v>0</v>
      </c>
      <c r="F11" s="8">
        <v>10</v>
      </c>
      <c r="G11" s="8">
        <f>SUM(C11:F11)</f>
        <v>120</v>
      </c>
      <c r="H11" s="8">
        <v>110</v>
      </c>
      <c r="I11" s="8">
        <v>0</v>
      </c>
      <c r="J11" s="8">
        <v>0</v>
      </c>
      <c r="K11" s="8">
        <v>10</v>
      </c>
      <c r="L11" s="8">
        <f>SUM(H11:K11)</f>
        <v>120</v>
      </c>
      <c r="M11" s="8">
        <f>G11-L11</f>
        <v>0</v>
      </c>
      <c r="N11" s="8"/>
    </row>
    <row r="12" spans="1:14" ht="12.75">
      <c r="A12" s="201">
        <f>A11+1</f>
        <v>2</v>
      </c>
      <c r="B12" s="201" t="s">
        <v>598</v>
      </c>
      <c r="C12" s="8">
        <v>166</v>
      </c>
      <c r="D12" s="8">
        <v>2</v>
      </c>
      <c r="E12" s="8">
        <v>0</v>
      </c>
      <c r="F12" s="8">
        <v>0</v>
      </c>
      <c r="G12" s="8">
        <f aca="true" t="shared" si="0" ref="G12:G41">SUM(C12:F12)</f>
        <v>168</v>
      </c>
      <c r="H12" s="8">
        <v>166</v>
      </c>
      <c r="I12" s="8">
        <v>2</v>
      </c>
      <c r="J12" s="8">
        <v>0</v>
      </c>
      <c r="K12" s="8">
        <v>0</v>
      </c>
      <c r="L12" s="8">
        <f aca="true" t="shared" si="1" ref="L12:L41">SUM(H12:K12)</f>
        <v>168</v>
      </c>
      <c r="M12" s="8">
        <f aca="true" t="shared" si="2" ref="M12:M41">G12-L12</f>
        <v>0</v>
      </c>
      <c r="N12" s="8"/>
    </row>
    <row r="13" spans="1:14" s="379" customFormat="1" ht="12.75">
      <c r="A13" s="271">
        <f aca="true" t="shared" si="3" ref="A13:A41">A12+1</f>
        <v>3</v>
      </c>
      <c r="B13" s="271" t="s">
        <v>634</v>
      </c>
      <c r="C13" s="373">
        <v>9</v>
      </c>
      <c r="D13" s="373">
        <v>35</v>
      </c>
      <c r="E13" s="373">
        <v>0</v>
      </c>
      <c r="F13" s="373">
        <v>7</v>
      </c>
      <c r="G13" s="373">
        <f t="shared" si="0"/>
        <v>51</v>
      </c>
      <c r="H13" s="373">
        <v>7</v>
      </c>
      <c r="I13" s="373">
        <v>29</v>
      </c>
      <c r="J13" s="373">
        <v>0</v>
      </c>
      <c r="K13" s="373">
        <v>0</v>
      </c>
      <c r="L13" s="373">
        <f t="shared" si="1"/>
        <v>36</v>
      </c>
      <c r="M13" s="8">
        <f t="shared" si="2"/>
        <v>15</v>
      </c>
      <c r="N13" s="381"/>
    </row>
    <row r="14" spans="1:14" ht="12.75">
      <c r="A14" s="201">
        <f t="shared" si="3"/>
        <v>4</v>
      </c>
      <c r="B14" s="201" t="s">
        <v>599</v>
      </c>
      <c r="C14" s="8">
        <v>85</v>
      </c>
      <c r="D14" s="8">
        <v>2</v>
      </c>
      <c r="E14" s="8">
        <v>0</v>
      </c>
      <c r="F14" s="8">
        <v>0</v>
      </c>
      <c r="G14" s="8">
        <f t="shared" si="0"/>
        <v>87</v>
      </c>
      <c r="H14" s="8">
        <v>85</v>
      </c>
      <c r="I14" s="8">
        <v>2</v>
      </c>
      <c r="J14" s="8">
        <v>0</v>
      </c>
      <c r="K14" s="8">
        <v>0</v>
      </c>
      <c r="L14" s="8">
        <f t="shared" si="1"/>
        <v>87</v>
      </c>
      <c r="M14" s="8">
        <f t="shared" si="2"/>
        <v>0</v>
      </c>
      <c r="N14" s="8"/>
    </row>
    <row r="15" spans="1:14" ht="12.75">
      <c r="A15" s="201">
        <f t="shared" si="3"/>
        <v>5</v>
      </c>
      <c r="B15" s="201" t="s">
        <v>600</v>
      </c>
      <c r="C15" s="8">
        <v>69</v>
      </c>
      <c r="D15" s="8">
        <v>2</v>
      </c>
      <c r="E15" s="8">
        <v>0</v>
      </c>
      <c r="F15" s="8">
        <v>0</v>
      </c>
      <c r="G15" s="8">
        <f t="shared" si="0"/>
        <v>71</v>
      </c>
      <c r="H15" s="8">
        <v>69</v>
      </c>
      <c r="I15" s="8">
        <v>2</v>
      </c>
      <c r="J15" s="8">
        <v>0</v>
      </c>
      <c r="K15" s="8">
        <v>0</v>
      </c>
      <c r="L15" s="8">
        <f t="shared" si="1"/>
        <v>71</v>
      </c>
      <c r="M15" s="8">
        <f t="shared" si="2"/>
        <v>0</v>
      </c>
      <c r="N15" s="8"/>
    </row>
    <row r="16" spans="1:14" ht="12.75">
      <c r="A16" s="201">
        <f t="shared" si="3"/>
        <v>6</v>
      </c>
      <c r="B16" s="201" t="s">
        <v>601</v>
      </c>
      <c r="C16" s="8">
        <v>90</v>
      </c>
      <c r="D16" s="8">
        <v>0</v>
      </c>
      <c r="E16" s="8">
        <v>0</v>
      </c>
      <c r="F16" s="8">
        <v>0</v>
      </c>
      <c r="G16" s="8">
        <f t="shared" si="0"/>
        <v>90</v>
      </c>
      <c r="H16" s="8">
        <v>86</v>
      </c>
      <c r="I16" s="8">
        <v>0</v>
      </c>
      <c r="J16" s="8">
        <v>0</v>
      </c>
      <c r="K16" s="8">
        <v>0</v>
      </c>
      <c r="L16" s="8">
        <f t="shared" si="1"/>
        <v>86</v>
      </c>
      <c r="M16" s="8">
        <f t="shared" si="2"/>
        <v>4</v>
      </c>
      <c r="N16" s="8"/>
    </row>
    <row r="17" spans="1:14" ht="12.75">
      <c r="A17" s="201">
        <f t="shared" si="3"/>
        <v>7</v>
      </c>
      <c r="B17" s="201" t="s">
        <v>602</v>
      </c>
      <c r="C17" s="8">
        <v>87</v>
      </c>
      <c r="D17" s="8">
        <v>0</v>
      </c>
      <c r="E17" s="8">
        <v>0</v>
      </c>
      <c r="F17" s="8">
        <v>3</v>
      </c>
      <c r="G17" s="8">
        <f t="shared" si="0"/>
        <v>90</v>
      </c>
      <c r="H17" s="8">
        <v>87</v>
      </c>
      <c r="I17" s="8">
        <v>0</v>
      </c>
      <c r="J17" s="8">
        <v>0</v>
      </c>
      <c r="K17" s="8">
        <v>3</v>
      </c>
      <c r="L17" s="8">
        <f t="shared" si="1"/>
        <v>90</v>
      </c>
      <c r="M17" s="8">
        <f t="shared" si="2"/>
        <v>0</v>
      </c>
      <c r="N17" s="8"/>
    </row>
    <row r="18" spans="1:14" ht="12.75">
      <c r="A18" s="201">
        <f t="shared" si="3"/>
        <v>8</v>
      </c>
      <c r="B18" s="201" t="s">
        <v>603</v>
      </c>
      <c r="C18" s="8">
        <v>129</v>
      </c>
      <c r="D18" s="8">
        <v>1</v>
      </c>
      <c r="E18" s="8">
        <v>4</v>
      </c>
      <c r="F18" s="8">
        <v>0</v>
      </c>
      <c r="G18" s="8">
        <f t="shared" si="0"/>
        <v>134</v>
      </c>
      <c r="H18" s="8">
        <v>129</v>
      </c>
      <c r="I18" s="8">
        <v>1</v>
      </c>
      <c r="J18" s="8">
        <v>4</v>
      </c>
      <c r="K18" s="8">
        <v>0</v>
      </c>
      <c r="L18" s="8">
        <f t="shared" si="1"/>
        <v>134</v>
      </c>
      <c r="M18" s="8">
        <f t="shared" si="2"/>
        <v>0</v>
      </c>
      <c r="N18" s="8"/>
    </row>
    <row r="19" spans="1:14" ht="12.75">
      <c r="A19" s="201">
        <f t="shared" si="3"/>
        <v>9</v>
      </c>
      <c r="B19" s="201" t="s">
        <v>604</v>
      </c>
      <c r="C19" s="8">
        <v>77</v>
      </c>
      <c r="D19" s="8">
        <v>3</v>
      </c>
      <c r="E19" s="8">
        <v>0</v>
      </c>
      <c r="F19" s="8">
        <v>1</v>
      </c>
      <c r="G19" s="8">
        <f t="shared" si="0"/>
        <v>81</v>
      </c>
      <c r="H19" s="8">
        <v>77</v>
      </c>
      <c r="I19" s="8">
        <v>3</v>
      </c>
      <c r="J19" s="8">
        <v>0</v>
      </c>
      <c r="K19" s="8">
        <v>1</v>
      </c>
      <c r="L19" s="8">
        <f t="shared" si="1"/>
        <v>81</v>
      </c>
      <c r="M19" s="8">
        <f t="shared" si="2"/>
        <v>0</v>
      </c>
      <c r="N19" s="8"/>
    </row>
    <row r="20" spans="1:14" ht="12.75">
      <c r="A20" s="201">
        <f t="shared" si="3"/>
        <v>10</v>
      </c>
      <c r="B20" s="201" t="s">
        <v>605</v>
      </c>
      <c r="C20" s="8">
        <v>192</v>
      </c>
      <c r="D20" s="8">
        <v>4</v>
      </c>
      <c r="E20" s="8">
        <v>1</v>
      </c>
      <c r="F20" s="8">
        <v>0</v>
      </c>
      <c r="G20" s="8">
        <f t="shared" si="0"/>
        <v>197</v>
      </c>
      <c r="H20" s="8">
        <v>192</v>
      </c>
      <c r="I20" s="8">
        <v>4</v>
      </c>
      <c r="J20" s="8">
        <v>1</v>
      </c>
      <c r="K20" s="8">
        <v>0</v>
      </c>
      <c r="L20" s="8">
        <f t="shared" si="1"/>
        <v>197</v>
      </c>
      <c r="M20" s="8">
        <f t="shared" si="2"/>
        <v>0</v>
      </c>
      <c r="N20" s="8"/>
    </row>
    <row r="21" spans="1:14" ht="12.75">
      <c r="A21" s="201">
        <f t="shared" si="3"/>
        <v>11</v>
      </c>
      <c r="B21" s="201" t="s">
        <v>635</v>
      </c>
      <c r="C21" s="8">
        <v>102</v>
      </c>
      <c r="D21" s="8">
        <v>3</v>
      </c>
      <c r="E21" s="8">
        <v>0</v>
      </c>
      <c r="F21" s="8">
        <v>1</v>
      </c>
      <c r="G21" s="8">
        <f t="shared" si="0"/>
        <v>106</v>
      </c>
      <c r="H21" s="8">
        <v>102</v>
      </c>
      <c r="I21" s="8">
        <v>3</v>
      </c>
      <c r="J21" s="8">
        <v>0</v>
      </c>
      <c r="K21" s="8">
        <v>1</v>
      </c>
      <c r="L21" s="8">
        <f t="shared" si="1"/>
        <v>106</v>
      </c>
      <c r="M21" s="8">
        <f t="shared" si="2"/>
        <v>0</v>
      </c>
      <c r="N21" s="8"/>
    </row>
    <row r="22" spans="1:14" ht="12.75">
      <c r="A22" s="201">
        <f t="shared" si="3"/>
        <v>12</v>
      </c>
      <c r="B22" s="201" t="s">
        <v>606</v>
      </c>
      <c r="C22" s="8">
        <v>121</v>
      </c>
      <c r="D22" s="8">
        <v>1</v>
      </c>
      <c r="E22" s="8">
        <v>0</v>
      </c>
      <c r="F22" s="8">
        <v>2</v>
      </c>
      <c r="G22" s="8">
        <f t="shared" si="0"/>
        <v>124</v>
      </c>
      <c r="H22" s="8">
        <v>121</v>
      </c>
      <c r="I22" s="8">
        <v>0</v>
      </c>
      <c r="J22" s="8">
        <v>0</v>
      </c>
      <c r="K22" s="8">
        <v>2</v>
      </c>
      <c r="L22" s="8">
        <f t="shared" si="1"/>
        <v>123</v>
      </c>
      <c r="M22" s="8">
        <f t="shared" si="2"/>
        <v>1</v>
      </c>
      <c r="N22" s="8"/>
    </row>
    <row r="23" spans="1:14" ht="12.75">
      <c r="A23" s="201">
        <f t="shared" si="3"/>
        <v>13</v>
      </c>
      <c r="B23" s="201" t="s">
        <v>607</v>
      </c>
      <c r="C23" s="8">
        <v>177</v>
      </c>
      <c r="D23" s="8">
        <v>6</v>
      </c>
      <c r="E23" s="8">
        <v>9</v>
      </c>
      <c r="F23" s="8">
        <v>5</v>
      </c>
      <c r="G23" s="8">
        <f t="shared" si="0"/>
        <v>197</v>
      </c>
      <c r="H23" s="8">
        <v>177</v>
      </c>
      <c r="I23" s="8">
        <v>6</v>
      </c>
      <c r="J23" s="8">
        <v>0</v>
      </c>
      <c r="K23" s="8">
        <v>1</v>
      </c>
      <c r="L23" s="8">
        <f t="shared" si="1"/>
        <v>184</v>
      </c>
      <c r="M23" s="8">
        <f t="shared" si="2"/>
        <v>13</v>
      </c>
      <c r="N23" s="8"/>
    </row>
    <row r="24" spans="1:14" ht="12.75">
      <c r="A24" s="201">
        <f t="shared" si="3"/>
        <v>14</v>
      </c>
      <c r="B24" s="201" t="s">
        <v>636</v>
      </c>
      <c r="C24" s="8">
        <v>96</v>
      </c>
      <c r="D24" s="8">
        <v>2</v>
      </c>
      <c r="E24" s="8">
        <v>0</v>
      </c>
      <c r="F24" s="8">
        <v>0</v>
      </c>
      <c r="G24" s="8">
        <f t="shared" si="0"/>
        <v>98</v>
      </c>
      <c r="H24" s="8">
        <v>96</v>
      </c>
      <c r="I24" s="8">
        <v>2</v>
      </c>
      <c r="J24" s="8">
        <v>0</v>
      </c>
      <c r="K24" s="8">
        <v>0</v>
      </c>
      <c r="L24" s="8">
        <f t="shared" si="1"/>
        <v>98</v>
      </c>
      <c r="M24" s="8">
        <f t="shared" si="2"/>
        <v>0</v>
      </c>
      <c r="N24" s="8"/>
    </row>
    <row r="25" spans="1:14" ht="12.75">
      <c r="A25" s="201">
        <f t="shared" si="3"/>
        <v>15</v>
      </c>
      <c r="B25" s="201" t="s">
        <v>608</v>
      </c>
      <c r="C25" s="8">
        <v>131</v>
      </c>
      <c r="D25" s="8">
        <v>0</v>
      </c>
      <c r="E25" s="8">
        <v>0</v>
      </c>
      <c r="F25" s="8">
        <v>0</v>
      </c>
      <c r="G25" s="8">
        <f t="shared" si="0"/>
        <v>131</v>
      </c>
      <c r="H25" s="8">
        <v>131</v>
      </c>
      <c r="I25" s="8">
        <v>0</v>
      </c>
      <c r="J25" s="8">
        <v>0</v>
      </c>
      <c r="K25" s="8">
        <v>0</v>
      </c>
      <c r="L25" s="8">
        <f t="shared" si="1"/>
        <v>131</v>
      </c>
      <c r="M25" s="8">
        <f t="shared" si="2"/>
        <v>0</v>
      </c>
      <c r="N25" s="8"/>
    </row>
    <row r="26" spans="1:14" ht="12.75">
      <c r="A26" s="201">
        <f t="shared" si="3"/>
        <v>16</v>
      </c>
      <c r="B26" s="201" t="s">
        <v>609</v>
      </c>
      <c r="C26" s="8">
        <v>22</v>
      </c>
      <c r="D26" s="8">
        <v>8</v>
      </c>
      <c r="E26" s="8">
        <v>0</v>
      </c>
      <c r="F26" s="8">
        <v>10</v>
      </c>
      <c r="G26" s="8">
        <f t="shared" si="0"/>
        <v>40</v>
      </c>
      <c r="H26" s="8">
        <v>22</v>
      </c>
      <c r="I26" s="8">
        <v>8</v>
      </c>
      <c r="J26" s="8">
        <v>0</v>
      </c>
      <c r="K26" s="8">
        <v>10</v>
      </c>
      <c r="L26" s="8">
        <f t="shared" si="1"/>
        <v>40</v>
      </c>
      <c r="M26" s="8">
        <f t="shared" si="2"/>
        <v>0</v>
      </c>
      <c r="N26" s="8"/>
    </row>
    <row r="27" spans="1:14" ht="12.75">
      <c r="A27" s="201">
        <f t="shared" si="3"/>
        <v>17</v>
      </c>
      <c r="B27" s="201" t="s">
        <v>610</v>
      </c>
      <c r="C27" s="8">
        <v>129</v>
      </c>
      <c r="D27" s="8">
        <v>3</v>
      </c>
      <c r="E27" s="8">
        <v>0</v>
      </c>
      <c r="F27" s="8">
        <v>0</v>
      </c>
      <c r="G27" s="8">
        <f t="shared" si="0"/>
        <v>132</v>
      </c>
      <c r="H27" s="8">
        <v>129</v>
      </c>
      <c r="I27" s="8">
        <v>3</v>
      </c>
      <c r="J27" s="8">
        <v>0</v>
      </c>
      <c r="K27" s="8">
        <v>0</v>
      </c>
      <c r="L27" s="8">
        <f t="shared" si="1"/>
        <v>132</v>
      </c>
      <c r="M27" s="8">
        <f t="shared" si="2"/>
        <v>0</v>
      </c>
      <c r="N27" s="8"/>
    </row>
    <row r="28" spans="1:14" ht="12.75">
      <c r="A28" s="201">
        <f t="shared" si="3"/>
        <v>18</v>
      </c>
      <c r="B28" s="201" t="s">
        <v>611</v>
      </c>
      <c r="C28" s="8">
        <v>127</v>
      </c>
      <c r="D28" s="8">
        <v>8</v>
      </c>
      <c r="E28" s="8">
        <v>0</v>
      </c>
      <c r="F28" s="8">
        <v>2</v>
      </c>
      <c r="G28" s="8">
        <f t="shared" si="0"/>
        <v>137</v>
      </c>
      <c r="H28" s="8">
        <v>128</v>
      </c>
      <c r="I28" s="8">
        <v>8</v>
      </c>
      <c r="J28" s="8">
        <v>0</v>
      </c>
      <c r="K28" s="8">
        <v>0</v>
      </c>
      <c r="L28" s="8">
        <f t="shared" si="1"/>
        <v>136</v>
      </c>
      <c r="M28" s="8">
        <f t="shared" si="2"/>
        <v>1</v>
      </c>
      <c r="N28" s="8"/>
    </row>
    <row r="29" spans="1:14" ht="12.75">
      <c r="A29" s="201">
        <f t="shared" si="3"/>
        <v>19</v>
      </c>
      <c r="B29" s="201" t="s">
        <v>637</v>
      </c>
      <c r="C29" s="8">
        <v>86</v>
      </c>
      <c r="D29" s="8">
        <v>0</v>
      </c>
      <c r="E29" s="8">
        <v>0</v>
      </c>
      <c r="F29" s="8">
        <v>7</v>
      </c>
      <c r="G29" s="8">
        <f t="shared" si="0"/>
        <v>93</v>
      </c>
      <c r="H29" s="8">
        <v>86</v>
      </c>
      <c r="I29" s="8">
        <v>0</v>
      </c>
      <c r="J29" s="8">
        <v>0</v>
      </c>
      <c r="K29" s="8">
        <v>7</v>
      </c>
      <c r="L29" s="8">
        <f t="shared" si="1"/>
        <v>93</v>
      </c>
      <c r="M29" s="8">
        <f t="shared" si="2"/>
        <v>0</v>
      </c>
      <c r="N29" s="8"/>
    </row>
    <row r="30" spans="1:14" ht="12.75">
      <c r="A30" s="201">
        <f t="shared" si="3"/>
        <v>20</v>
      </c>
      <c r="B30" s="201" t="s">
        <v>612</v>
      </c>
      <c r="C30" s="8">
        <v>136</v>
      </c>
      <c r="D30" s="8">
        <v>7</v>
      </c>
      <c r="E30" s="8">
        <v>0</v>
      </c>
      <c r="F30" s="8">
        <v>0</v>
      </c>
      <c r="G30" s="8">
        <f t="shared" si="0"/>
        <v>143</v>
      </c>
      <c r="H30" s="8">
        <v>134</v>
      </c>
      <c r="I30" s="8">
        <v>7</v>
      </c>
      <c r="J30" s="8">
        <v>0</v>
      </c>
      <c r="K30" s="8">
        <v>0</v>
      </c>
      <c r="L30" s="8">
        <f t="shared" si="1"/>
        <v>141</v>
      </c>
      <c r="M30" s="8">
        <f t="shared" si="2"/>
        <v>2</v>
      </c>
      <c r="N30" s="8"/>
    </row>
    <row r="31" spans="1:14" ht="12.75">
      <c r="A31" s="201">
        <f t="shared" si="3"/>
        <v>21</v>
      </c>
      <c r="B31" s="201" t="s">
        <v>613</v>
      </c>
      <c r="C31" s="8">
        <v>83</v>
      </c>
      <c r="D31" s="8">
        <v>2</v>
      </c>
      <c r="E31" s="8">
        <v>0</v>
      </c>
      <c r="F31" s="8">
        <v>4</v>
      </c>
      <c r="G31" s="8">
        <f t="shared" si="0"/>
        <v>89</v>
      </c>
      <c r="H31" s="8">
        <v>81</v>
      </c>
      <c r="I31" s="8">
        <v>2</v>
      </c>
      <c r="J31" s="8">
        <v>0</v>
      </c>
      <c r="K31" s="8">
        <v>4</v>
      </c>
      <c r="L31" s="8">
        <f t="shared" si="1"/>
        <v>87</v>
      </c>
      <c r="M31" s="8">
        <f t="shared" si="2"/>
        <v>2</v>
      </c>
      <c r="N31" s="8"/>
    </row>
    <row r="32" spans="1:14" ht="12.75">
      <c r="A32" s="201">
        <f t="shared" si="3"/>
        <v>22</v>
      </c>
      <c r="B32" s="201" t="s">
        <v>614</v>
      </c>
      <c r="C32" s="8">
        <v>39</v>
      </c>
      <c r="D32" s="8">
        <v>0</v>
      </c>
      <c r="E32" s="8">
        <v>0</v>
      </c>
      <c r="F32" s="8">
        <v>0</v>
      </c>
      <c r="G32" s="8">
        <f t="shared" si="0"/>
        <v>39</v>
      </c>
      <c r="H32" s="8">
        <v>39</v>
      </c>
      <c r="I32" s="8">
        <v>0</v>
      </c>
      <c r="J32" s="8">
        <v>0</v>
      </c>
      <c r="K32" s="8">
        <v>0</v>
      </c>
      <c r="L32" s="8">
        <f t="shared" si="1"/>
        <v>39</v>
      </c>
      <c r="M32" s="8">
        <f t="shared" si="2"/>
        <v>0</v>
      </c>
      <c r="N32" s="8"/>
    </row>
    <row r="33" spans="1:14" ht="12.75">
      <c r="A33" s="201">
        <f t="shared" si="3"/>
        <v>23</v>
      </c>
      <c r="B33" s="201" t="s">
        <v>615</v>
      </c>
      <c r="C33" s="8">
        <v>181</v>
      </c>
      <c r="D33" s="8">
        <v>7</v>
      </c>
      <c r="E33" s="8">
        <v>0</v>
      </c>
      <c r="F33" s="8">
        <v>10</v>
      </c>
      <c r="G33" s="8">
        <f t="shared" si="0"/>
        <v>198</v>
      </c>
      <c r="H33" s="8">
        <v>181</v>
      </c>
      <c r="I33" s="8">
        <v>7</v>
      </c>
      <c r="J33" s="8">
        <v>0</v>
      </c>
      <c r="K33" s="8">
        <v>10</v>
      </c>
      <c r="L33" s="8">
        <f t="shared" si="1"/>
        <v>198</v>
      </c>
      <c r="M33" s="8">
        <f t="shared" si="2"/>
        <v>0</v>
      </c>
      <c r="N33" s="8"/>
    </row>
    <row r="34" spans="1:14" ht="12.75">
      <c r="A34" s="201">
        <f t="shared" si="3"/>
        <v>24</v>
      </c>
      <c r="B34" s="201" t="s">
        <v>616</v>
      </c>
      <c r="C34" s="8">
        <v>197</v>
      </c>
      <c r="D34" s="8">
        <v>1</v>
      </c>
      <c r="E34" s="8">
        <v>0</v>
      </c>
      <c r="F34" s="8">
        <v>0</v>
      </c>
      <c r="G34" s="8">
        <f t="shared" si="0"/>
        <v>198</v>
      </c>
      <c r="H34" s="8">
        <v>197</v>
      </c>
      <c r="I34" s="8">
        <v>1</v>
      </c>
      <c r="J34" s="8">
        <v>0</v>
      </c>
      <c r="K34" s="8">
        <v>0</v>
      </c>
      <c r="L34" s="8">
        <f t="shared" si="1"/>
        <v>198</v>
      </c>
      <c r="M34" s="8">
        <f t="shared" si="2"/>
        <v>0</v>
      </c>
      <c r="N34" s="8"/>
    </row>
    <row r="35" spans="1:14" ht="12.75">
      <c r="A35" s="201">
        <f t="shared" si="3"/>
        <v>25</v>
      </c>
      <c r="B35" s="201" t="s">
        <v>617</v>
      </c>
      <c r="C35" s="8">
        <v>111</v>
      </c>
      <c r="D35" s="8">
        <v>0</v>
      </c>
      <c r="E35" s="8">
        <v>0</v>
      </c>
      <c r="F35" s="8">
        <v>1</v>
      </c>
      <c r="G35" s="8">
        <f t="shared" si="0"/>
        <v>112</v>
      </c>
      <c r="H35" s="8">
        <v>111</v>
      </c>
      <c r="I35" s="8">
        <v>0</v>
      </c>
      <c r="J35" s="8">
        <v>0</v>
      </c>
      <c r="K35" s="8">
        <v>1</v>
      </c>
      <c r="L35" s="8">
        <f t="shared" si="1"/>
        <v>112</v>
      </c>
      <c r="M35" s="8">
        <f t="shared" si="2"/>
        <v>0</v>
      </c>
      <c r="N35" s="8"/>
    </row>
    <row r="36" spans="1:14" ht="12.75">
      <c r="A36" s="201">
        <f t="shared" si="3"/>
        <v>26</v>
      </c>
      <c r="B36" s="201" t="s">
        <v>618</v>
      </c>
      <c r="C36" s="8">
        <v>78</v>
      </c>
      <c r="D36" s="8">
        <v>0</v>
      </c>
      <c r="E36" s="8">
        <v>0</v>
      </c>
      <c r="F36" s="8">
        <v>4</v>
      </c>
      <c r="G36" s="8">
        <f t="shared" si="0"/>
        <v>82</v>
      </c>
      <c r="H36" s="8">
        <v>78</v>
      </c>
      <c r="I36" s="8">
        <v>0</v>
      </c>
      <c r="J36" s="8">
        <v>0</v>
      </c>
      <c r="K36" s="8">
        <v>4</v>
      </c>
      <c r="L36" s="8">
        <f t="shared" si="1"/>
        <v>82</v>
      </c>
      <c r="M36" s="8">
        <f t="shared" si="2"/>
        <v>0</v>
      </c>
      <c r="N36" s="8"/>
    </row>
    <row r="37" spans="1:14" ht="12.75">
      <c r="A37" s="201">
        <f t="shared" si="3"/>
        <v>27</v>
      </c>
      <c r="B37" s="201" t="s">
        <v>619</v>
      </c>
      <c r="C37" s="8">
        <v>112</v>
      </c>
      <c r="D37" s="8">
        <v>0</v>
      </c>
      <c r="E37" s="8">
        <v>0</v>
      </c>
      <c r="F37" s="8">
        <v>1</v>
      </c>
      <c r="G37" s="8">
        <f t="shared" si="0"/>
        <v>113</v>
      </c>
      <c r="H37" s="8">
        <v>112</v>
      </c>
      <c r="I37" s="8">
        <v>1</v>
      </c>
      <c r="J37" s="8">
        <v>0</v>
      </c>
      <c r="K37" s="8">
        <v>0</v>
      </c>
      <c r="L37" s="8">
        <f t="shared" si="1"/>
        <v>113</v>
      </c>
      <c r="M37" s="8">
        <f t="shared" si="2"/>
        <v>0</v>
      </c>
      <c r="N37" s="8"/>
    </row>
    <row r="38" spans="1:14" ht="12.75">
      <c r="A38" s="201">
        <f t="shared" si="3"/>
        <v>28</v>
      </c>
      <c r="B38" s="143" t="s">
        <v>620</v>
      </c>
      <c r="C38" s="8">
        <v>58</v>
      </c>
      <c r="D38" s="8">
        <v>0</v>
      </c>
      <c r="E38" s="8">
        <v>0</v>
      </c>
      <c r="F38" s="8">
        <v>0</v>
      </c>
      <c r="G38" s="8">
        <f t="shared" si="0"/>
        <v>58</v>
      </c>
      <c r="H38" s="8">
        <v>58</v>
      </c>
      <c r="I38" s="8">
        <v>0</v>
      </c>
      <c r="J38" s="8">
        <v>0</v>
      </c>
      <c r="K38" s="8">
        <v>0</v>
      </c>
      <c r="L38" s="8">
        <f t="shared" si="1"/>
        <v>58</v>
      </c>
      <c r="M38" s="8">
        <f t="shared" si="2"/>
        <v>0</v>
      </c>
      <c r="N38" s="8"/>
    </row>
    <row r="39" spans="1:14" ht="12.75">
      <c r="A39" s="201">
        <f t="shared" si="3"/>
        <v>29</v>
      </c>
      <c r="B39" s="143" t="s">
        <v>621</v>
      </c>
      <c r="C39" s="8">
        <v>79</v>
      </c>
      <c r="D39" s="8">
        <v>4</v>
      </c>
      <c r="E39" s="8">
        <v>0</v>
      </c>
      <c r="F39" s="8">
        <v>0</v>
      </c>
      <c r="G39" s="8">
        <f t="shared" si="0"/>
        <v>83</v>
      </c>
      <c r="H39" s="8">
        <v>78</v>
      </c>
      <c r="I39" s="8">
        <v>3</v>
      </c>
      <c r="J39" s="8">
        <v>0</v>
      </c>
      <c r="K39" s="8">
        <v>0</v>
      </c>
      <c r="L39" s="8">
        <f t="shared" si="1"/>
        <v>81</v>
      </c>
      <c r="M39" s="8">
        <f t="shared" si="2"/>
        <v>2</v>
      </c>
      <c r="N39" s="8"/>
    </row>
    <row r="40" spans="1:14" ht="12.75">
      <c r="A40" s="201">
        <f t="shared" si="3"/>
        <v>30</v>
      </c>
      <c r="B40" s="143" t="s">
        <v>622</v>
      </c>
      <c r="C40" s="8">
        <v>48</v>
      </c>
      <c r="D40" s="8">
        <v>25</v>
      </c>
      <c r="E40" s="8">
        <v>0</v>
      </c>
      <c r="F40" s="8">
        <v>3</v>
      </c>
      <c r="G40" s="8">
        <f t="shared" si="0"/>
        <v>76</v>
      </c>
      <c r="H40" s="8">
        <v>47</v>
      </c>
      <c r="I40" s="8">
        <v>13</v>
      </c>
      <c r="J40" s="8">
        <v>0</v>
      </c>
      <c r="K40" s="8">
        <v>3</v>
      </c>
      <c r="L40" s="8">
        <f t="shared" si="1"/>
        <v>63</v>
      </c>
      <c r="M40" s="8">
        <f t="shared" si="2"/>
        <v>13</v>
      </c>
      <c r="N40" s="8"/>
    </row>
    <row r="41" spans="1:14" ht="12.75">
      <c r="A41" s="201">
        <f t="shared" si="3"/>
        <v>31</v>
      </c>
      <c r="B41" s="143" t="s">
        <v>623</v>
      </c>
      <c r="C41" s="8">
        <v>63</v>
      </c>
      <c r="D41" s="8">
        <v>1</v>
      </c>
      <c r="E41" s="8">
        <v>0</v>
      </c>
      <c r="F41" s="8">
        <v>1</v>
      </c>
      <c r="G41" s="8">
        <f t="shared" si="0"/>
        <v>65</v>
      </c>
      <c r="H41" s="8">
        <v>63</v>
      </c>
      <c r="I41" s="8">
        <v>0</v>
      </c>
      <c r="J41" s="8">
        <v>0</v>
      </c>
      <c r="K41" s="8">
        <v>1</v>
      </c>
      <c r="L41" s="8">
        <f t="shared" si="1"/>
        <v>64</v>
      </c>
      <c r="M41" s="8">
        <f t="shared" si="2"/>
        <v>1</v>
      </c>
      <c r="N41" s="8"/>
    </row>
    <row r="42" spans="1:14" s="5" customFormat="1" ht="12.75">
      <c r="A42" s="150"/>
      <c r="B42" s="150" t="s">
        <v>624</v>
      </c>
      <c r="C42" s="17">
        <f>SUM(C11:C41)</f>
        <v>3190</v>
      </c>
      <c r="D42" s="17">
        <f aca="true" t="shared" si="4" ref="D42:M42">SUM(D11:D41)</f>
        <v>127</v>
      </c>
      <c r="E42" s="17">
        <f t="shared" si="4"/>
        <v>14</v>
      </c>
      <c r="F42" s="17">
        <f t="shared" si="4"/>
        <v>72</v>
      </c>
      <c r="G42" s="17">
        <f t="shared" si="4"/>
        <v>3403</v>
      </c>
      <c r="H42" s="17">
        <f t="shared" si="4"/>
        <v>3179</v>
      </c>
      <c r="I42" s="17">
        <f t="shared" si="4"/>
        <v>107</v>
      </c>
      <c r="J42" s="17">
        <f t="shared" si="4"/>
        <v>5</v>
      </c>
      <c r="K42" s="17">
        <f t="shared" si="4"/>
        <v>58</v>
      </c>
      <c r="L42" s="17">
        <f t="shared" si="4"/>
        <v>3349</v>
      </c>
      <c r="M42" s="17">
        <f t="shared" si="4"/>
        <v>54</v>
      </c>
      <c r="N42" s="17" t="s">
        <v>877</v>
      </c>
    </row>
    <row r="43" spans="1:14" ht="12.75">
      <c r="A43" s="3"/>
      <c r="B43" s="10"/>
      <c r="C43" s="10"/>
      <c r="D43" s="10"/>
      <c r="E43" s="10"/>
      <c r="F43" s="359"/>
      <c r="G43" s="359">
        <v>5115</v>
      </c>
      <c r="H43" s="10"/>
      <c r="I43" s="10"/>
      <c r="J43" s="10"/>
      <c r="K43" s="10"/>
      <c r="L43" s="10"/>
      <c r="M43" s="10"/>
      <c r="N43" s="10"/>
    </row>
    <row r="44" ht="12.75">
      <c r="A44" s="9" t="s">
        <v>8</v>
      </c>
    </row>
    <row r="45" ht="12.75">
      <c r="A45" s="6" t="s">
        <v>9</v>
      </c>
    </row>
    <row r="46" spans="1:14" ht="12.75">
      <c r="A46" s="6" t="s">
        <v>10</v>
      </c>
      <c r="L46" s="3" t="s">
        <v>11</v>
      </c>
      <c r="M46" s="3"/>
      <c r="N46" s="3" t="s">
        <v>11</v>
      </c>
    </row>
    <row r="47" spans="1:12" ht="12.75">
      <c r="A47" s="6" t="s">
        <v>421</v>
      </c>
      <c r="J47" s="3"/>
      <c r="K47" s="3"/>
      <c r="L47" s="3"/>
    </row>
    <row r="48" spans="3:13" ht="12.75">
      <c r="C48" s="6" t="s">
        <v>422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5:14" ht="12.75"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644"/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</row>
    <row r="52" spans="11:14" ht="14.25">
      <c r="K52" s="592" t="s">
        <v>860</v>
      </c>
      <c r="L52" s="592"/>
      <c r="M52" s="592"/>
      <c r="N52" s="592"/>
    </row>
    <row r="53" spans="11:14" ht="14.25">
      <c r="K53" s="592" t="s">
        <v>653</v>
      </c>
      <c r="L53" s="592"/>
      <c r="M53" s="592"/>
      <c r="N53" s="592"/>
    </row>
  </sheetData>
  <sheetProtection/>
  <mergeCells count="14">
    <mergeCell ref="B8:B9"/>
    <mergeCell ref="C8:G8"/>
    <mergeCell ref="H8:L8"/>
    <mergeCell ref="L7:N7"/>
    <mergeCell ref="K52:N52"/>
    <mergeCell ref="K53:N53"/>
    <mergeCell ref="D1:J1"/>
    <mergeCell ref="A2:N2"/>
    <mergeCell ref="A3:N3"/>
    <mergeCell ref="A5:N5"/>
    <mergeCell ref="A50:N50"/>
    <mergeCell ref="M8:M9"/>
    <mergeCell ref="N8:N9"/>
    <mergeCell ref="A8:A9"/>
  </mergeCells>
  <printOptions horizontalCentered="1"/>
  <pageMargins left="0.38" right="0.37" top="0.43" bottom="0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zoomScale="70" zoomScaleNormal="70" zoomScaleSheetLayoutView="70" zoomScalePageLayoutView="0" workbookViewId="0" topLeftCell="A10">
      <selection activeCell="G42" sqref="G42"/>
    </sheetView>
  </sheetViews>
  <sheetFormatPr defaultColWidth="9.140625" defaultRowHeight="12.75"/>
  <cols>
    <col min="1" max="1" width="9.140625" style="6" customWidth="1"/>
    <col min="2" max="2" width="21.7109375" style="6" customWidth="1"/>
    <col min="3" max="3" width="11.28125" style="6" customWidth="1"/>
    <col min="4" max="4" width="9.140625" style="6" customWidth="1"/>
    <col min="5" max="5" width="9.57421875" style="6" customWidth="1"/>
    <col min="6" max="6" width="9.8515625" style="6" customWidth="1"/>
    <col min="7" max="7" width="8.8515625" style="6" customWidth="1"/>
    <col min="8" max="8" width="10.57421875" style="6" customWidth="1"/>
    <col min="9" max="9" width="9.8515625" style="6" customWidth="1"/>
    <col min="10" max="10" width="9.140625" style="6" customWidth="1"/>
    <col min="11" max="11" width="11.8515625" style="6" customWidth="1"/>
    <col min="12" max="12" width="9.421875" style="6" customWidth="1"/>
    <col min="13" max="13" width="12.00390625" style="6" customWidth="1"/>
    <col min="14" max="14" width="14.140625" style="6" customWidth="1"/>
    <col min="15" max="16384" width="9.140625" style="6" customWidth="1"/>
  </cols>
  <sheetData>
    <row r="1" spans="4:13" ht="12.75" customHeight="1">
      <c r="D1" s="560"/>
      <c r="E1" s="560"/>
      <c r="F1" s="560"/>
      <c r="G1" s="560"/>
      <c r="H1" s="560"/>
      <c r="I1" s="560"/>
      <c r="J1" s="560"/>
      <c r="M1" s="167" t="s">
        <v>251</v>
      </c>
    </row>
    <row r="2" spans="1:14" ht="15.75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20.25">
      <c r="A3" s="563" t="s">
        <v>695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</row>
    <row r="4" ht="11.25" customHeight="1"/>
    <row r="5" spans="1:14" ht="15.75">
      <c r="A5" s="564" t="s">
        <v>704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</row>
    <row r="7" spans="1:14" s="5" customFormat="1" ht="12.75">
      <c r="A7" s="21" t="s">
        <v>665</v>
      </c>
      <c r="B7" s="21"/>
      <c r="L7" s="646" t="s">
        <v>750</v>
      </c>
      <c r="M7" s="646"/>
      <c r="N7" s="646"/>
    </row>
    <row r="8" spans="1:14" ht="15.75" customHeight="1">
      <c r="A8" s="642" t="s">
        <v>2</v>
      </c>
      <c r="B8" s="642" t="s">
        <v>3</v>
      </c>
      <c r="C8" s="555" t="s">
        <v>4</v>
      </c>
      <c r="D8" s="555"/>
      <c r="E8" s="555"/>
      <c r="F8" s="541"/>
      <c r="G8" s="541"/>
      <c r="H8" s="555" t="s">
        <v>97</v>
      </c>
      <c r="I8" s="555"/>
      <c r="J8" s="555"/>
      <c r="K8" s="555"/>
      <c r="L8" s="555"/>
      <c r="M8" s="642" t="s">
        <v>130</v>
      </c>
      <c r="N8" s="530" t="s">
        <v>131</v>
      </c>
    </row>
    <row r="9" spans="1:19" ht="51">
      <c r="A9" s="643"/>
      <c r="B9" s="643"/>
      <c r="C9" s="1" t="s">
        <v>5</v>
      </c>
      <c r="D9" s="1" t="s">
        <v>6</v>
      </c>
      <c r="E9" s="1" t="s">
        <v>348</v>
      </c>
      <c r="F9" s="1" t="s">
        <v>95</v>
      </c>
      <c r="G9" s="1" t="s">
        <v>113</v>
      </c>
      <c r="H9" s="1" t="s">
        <v>5</v>
      </c>
      <c r="I9" s="1" t="s">
        <v>6</v>
      </c>
      <c r="J9" s="1" t="s">
        <v>348</v>
      </c>
      <c r="K9" s="151" t="s">
        <v>95</v>
      </c>
      <c r="L9" s="151" t="s">
        <v>114</v>
      </c>
      <c r="M9" s="643"/>
      <c r="N9" s="530"/>
      <c r="R9" s="8"/>
      <c r="S9" s="10"/>
    </row>
    <row r="10" spans="1:14" s="5" customFormat="1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44">
        <v>11</v>
      </c>
      <c r="L10" s="54">
        <v>12</v>
      </c>
      <c r="M10" s="54">
        <v>13</v>
      </c>
      <c r="N10" s="144">
        <v>14</v>
      </c>
    </row>
    <row r="11" spans="1:14" ht="12.75">
      <c r="A11" s="201">
        <v>1</v>
      </c>
      <c r="B11" s="201" t="s">
        <v>633</v>
      </c>
      <c r="C11" s="8">
        <v>108</v>
      </c>
      <c r="D11" s="8">
        <v>2</v>
      </c>
      <c r="E11" s="8">
        <v>0</v>
      </c>
      <c r="F11" s="8">
        <v>1</v>
      </c>
      <c r="G11" s="8">
        <f>SUM(C11:F11)</f>
        <v>111</v>
      </c>
      <c r="H11" s="8">
        <v>108</v>
      </c>
      <c r="I11" s="8">
        <v>2</v>
      </c>
      <c r="J11" s="8">
        <v>0</v>
      </c>
      <c r="K11" s="8">
        <v>1</v>
      </c>
      <c r="L11" s="8">
        <f>SUM(H11:K11)</f>
        <v>111</v>
      </c>
      <c r="M11" s="8">
        <f>G11-L11</f>
        <v>0</v>
      </c>
      <c r="N11" s="8"/>
    </row>
    <row r="12" spans="1:14" ht="12.75">
      <c r="A12" s="201">
        <f>A11+1</f>
        <v>2</v>
      </c>
      <c r="B12" s="201" t="s">
        <v>598</v>
      </c>
      <c r="C12" s="8">
        <v>110</v>
      </c>
      <c r="D12" s="8">
        <v>10</v>
      </c>
      <c r="E12" s="8">
        <v>0</v>
      </c>
      <c r="F12" s="8">
        <v>0</v>
      </c>
      <c r="G12" s="8">
        <f aca="true" t="shared" si="0" ref="G12:G41">SUM(C12:F12)</f>
        <v>120</v>
      </c>
      <c r="H12" s="8">
        <v>110</v>
      </c>
      <c r="I12" s="8">
        <v>10</v>
      </c>
      <c r="J12" s="8">
        <v>0</v>
      </c>
      <c r="K12" s="8">
        <v>0</v>
      </c>
      <c r="L12" s="8">
        <f aca="true" t="shared" si="1" ref="L12:L41">SUM(H12:K12)</f>
        <v>120</v>
      </c>
      <c r="M12" s="8">
        <f aca="true" t="shared" si="2" ref="M12:M41">G12-L12</f>
        <v>0</v>
      </c>
      <c r="N12" s="8"/>
    </row>
    <row r="13" spans="1:14" ht="12.75">
      <c r="A13" s="201">
        <f aca="true" t="shared" si="3" ref="A13:A41">A12+1</f>
        <v>3</v>
      </c>
      <c r="B13" s="201" t="s">
        <v>634</v>
      </c>
      <c r="C13" s="8">
        <v>183</v>
      </c>
      <c r="D13" s="8">
        <v>114</v>
      </c>
      <c r="E13" s="8">
        <v>0</v>
      </c>
      <c r="F13" s="8">
        <v>0</v>
      </c>
      <c r="G13" s="8">
        <f t="shared" si="0"/>
        <v>297</v>
      </c>
      <c r="H13" s="8">
        <v>180</v>
      </c>
      <c r="I13" s="8">
        <v>82</v>
      </c>
      <c r="J13" s="8">
        <v>0</v>
      </c>
      <c r="K13" s="8">
        <v>0</v>
      </c>
      <c r="L13" s="8">
        <f t="shared" si="1"/>
        <v>262</v>
      </c>
      <c r="M13" s="8">
        <f t="shared" si="2"/>
        <v>35</v>
      </c>
      <c r="N13" s="70"/>
    </row>
    <row r="14" spans="1:14" ht="12.75">
      <c r="A14" s="201">
        <f t="shared" si="3"/>
        <v>4</v>
      </c>
      <c r="B14" s="201" t="s">
        <v>599</v>
      </c>
      <c r="C14" s="8">
        <v>200</v>
      </c>
      <c r="D14" s="8">
        <v>0</v>
      </c>
      <c r="E14" s="8">
        <v>0</v>
      </c>
      <c r="F14" s="8">
        <v>0</v>
      </c>
      <c r="G14" s="8">
        <f t="shared" si="0"/>
        <v>200</v>
      </c>
      <c r="H14" s="8">
        <v>200</v>
      </c>
      <c r="I14" s="8">
        <v>0</v>
      </c>
      <c r="J14" s="8">
        <v>0</v>
      </c>
      <c r="K14" s="8">
        <v>0</v>
      </c>
      <c r="L14" s="8">
        <f t="shared" si="1"/>
        <v>200</v>
      </c>
      <c r="M14" s="8">
        <f t="shared" si="2"/>
        <v>0</v>
      </c>
      <c r="N14" s="8"/>
    </row>
    <row r="15" spans="1:14" ht="12.75">
      <c r="A15" s="201">
        <f t="shared" si="3"/>
        <v>5</v>
      </c>
      <c r="B15" s="201" t="s">
        <v>600</v>
      </c>
      <c r="C15" s="8">
        <v>119</v>
      </c>
      <c r="D15" s="8">
        <v>3</v>
      </c>
      <c r="E15" s="8">
        <v>0</v>
      </c>
      <c r="F15" s="8">
        <v>0</v>
      </c>
      <c r="G15" s="8">
        <f t="shared" si="0"/>
        <v>122</v>
      </c>
      <c r="H15" s="8">
        <v>119</v>
      </c>
      <c r="I15" s="8">
        <v>3</v>
      </c>
      <c r="J15" s="8">
        <v>0</v>
      </c>
      <c r="K15" s="8">
        <v>0</v>
      </c>
      <c r="L15" s="8">
        <f t="shared" si="1"/>
        <v>122</v>
      </c>
      <c r="M15" s="8">
        <f t="shared" si="2"/>
        <v>0</v>
      </c>
      <c r="N15" s="8"/>
    </row>
    <row r="16" spans="1:14" ht="12.75">
      <c r="A16" s="201">
        <f t="shared" si="3"/>
        <v>6</v>
      </c>
      <c r="B16" s="201" t="s">
        <v>601</v>
      </c>
      <c r="C16" s="8">
        <v>118</v>
      </c>
      <c r="D16" s="8">
        <v>0</v>
      </c>
      <c r="E16" s="8">
        <v>0</v>
      </c>
      <c r="F16" s="8">
        <v>0</v>
      </c>
      <c r="G16" s="8">
        <f t="shared" si="0"/>
        <v>118</v>
      </c>
      <c r="H16" s="8">
        <v>118</v>
      </c>
      <c r="I16" s="8">
        <v>0</v>
      </c>
      <c r="J16" s="8">
        <v>0</v>
      </c>
      <c r="K16" s="8">
        <v>0</v>
      </c>
      <c r="L16" s="8">
        <f t="shared" si="1"/>
        <v>118</v>
      </c>
      <c r="M16" s="8">
        <f t="shared" si="2"/>
        <v>0</v>
      </c>
      <c r="N16" s="8"/>
    </row>
    <row r="17" spans="1:14" ht="12.75">
      <c r="A17" s="201">
        <f t="shared" si="3"/>
        <v>7</v>
      </c>
      <c r="B17" s="201" t="s">
        <v>602</v>
      </c>
      <c r="C17" s="8">
        <v>85</v>
      </c>
      <c r="D17" s="8">
        <v>2</v>
      </c>
      <c r="E17" s="8">
        <v>0</v>
      </c>
      <c r="F17" s="8">
        <v>1</v>
      </c>
      <c r="G17" s="8">
        <f t="shared" si="0"/>
        <v>88</v>
      </c>
      <c r="H17" s="8">
        <v>85</v>
      </c>
      <c r="I17" s="8">
        <v>2</v>
      </c>
      <c r="J17" s="8">
        <v>0</v>
      </c>
      <c r="K17" s="8">
        <v>1</v>
      </c>
      <c r="L17" s="8">
        <f t="shared" si="1"/>
        <v>88</v>
      </c>
      <c r="M17" s="8">
        <f t="shared" si="2"/>
        <v>0</v>
      </c>
      <c r="N17" s="8"/>
    </row>
    <row r="18" spans="1:14" ht="12.75">
      <c r="A18" s="201">
        <f t="shared" si="3"/>
        <v>8</v>
      </c>
      <c r="B18" s="201" t="s">
        <v>603</v>
      </c>
      <c r="C18" s="8">
        <v>191</v>
      </c>
      <c r="D18" s="8">
        <v>2</v>
      </c>
      <c r="E18" s="8">
        <v>0</v>
      </c>
      <c r="F18" s="8">
        <v>0</v>
      </c>
      <c r="G18" s="8">
        <f t="shared" si="0"/>
        <v>193</v>
      </c>
      <c r="H18" s="8">
        <v>191</v>
      </c>
      <c r="I18" s="8">
        <v>2</v>
      </c>
      <c r="J18" s="8">
        <v>0</v>
      </c>
      <c r="K18" s="8">
        <v>0</v>
      </c>
      <c r="L18" s="8">
        <f t="shared" si="1"/>
        <v>193</v>
      </c>
      <c r="M18" s="8">
        <f t="shared" si="2"/>
        <v>0</v>
      </c>
      <c r="N18" s="8"/>
    </row>
    <row r="19" spans="1:14" ht="12.75">
      <c r="A19" s="201">
        <f t="shared" si="3"/>
        <v>9</v>
      </c>
      <c r="B19" s="201" t="s">
        <v>604</v>
      </c>
      <c r="C19" s="8">
        <v>162</v>
      </c>
      <c r="D19" s="8">
        <v>8</v>
      </c>
      <c r="E19" s="8">
        <v>0</v>
      </c>
      <c r="F19" s="8">
        <v>2</v>
      </c>
      <c r="G19" s="8">
        <f t="shared" si="0"/>
        <v>172</v>
      </c>
      <c r="H19" s="8">
        <v>162</v>
      </c>
      <c r="I19" s="8">
        <v>8</v>
      </c>
      <c r="J19" s="8">
        <v>0</v>
      </c>
      <c r="K19" s="8">
        <v>2</v>
      </c>
      <c r="L19" s="8">
        <f t="shared" si="1"/>
        <v>172</v>
      </c>
      <c r="M19" s="8">
        <f t="shared" si="2"/>
        <v>0</v>
      </c>
      <c r="N19" s="8"/>
    </row>
    <row r="20" spans="1:14" ht="12.75">
      <c r="A20" s="201">
        <f t="shared" si="3"/>
        <v>10</v>
      </c>
      <c r="B20" s="201" t="s">
        <v>605</v>
      </c>
      <c r="C20" s="8">
        <v>213</v>
      </c>
      <c r="D20" s="8">
        <v>9</v>
      </c>
      <c r="E20" s="8">
        <v>0</v>
      </c>
      <c r="F20" s="8">
        <v>0</v>
      </c>
      <c r="G20" s="8">
        <f t="shared" si="0"/>
        <v>222</v>
      </c>
      <c r="H20" s="8">
        <v>213</v>
      </c>
      <c r="I20" s="8">
        <v>9</v>
      </c>
      <c r="J20" s="8">
        <v>0</v>
      </c>
      <c r="K20" s="8">
        <v>0</v>
      </c>
      <c r="L20" s="8">
        <f t="shared" si="1"/>
        <v>222</v>
      </c>
      <c r="M20" s="8">
        <f t="shared" si="2"/>
        <v>0</v>
      </c>
      <c r="N20" s="8"/>
    </row>
    <row r="21" spans="1:14" ht="12.75">
      <c r="A21" s="201">
        <f t="shared" si="3"/>
        <v>11</v>
      </c>
      <c r="B21" s="201" t="s">
        <v>635</v>
      </c>
      <c r="C21" s="8">
        <v>60</v>
      </c>
      <c r="D21" s="8">
        <v>4</v>
      </c>
      <c r="E21" s="8">
        <v>0</v>
      </c>
      <c r="F21" s="8">
        <v>0</v>
      </c>
      <c r="G21" s="8">
        <f t="shared" si="0"/>
        <v>64</v>
      </c>
      <c r="H21" s="8">
        <v>60</v>
      </c>
      <c r="I21" s="8">
        <v>4</v>
      </c>
      <c r="J21" s="8">
        <v>0</v>
      </c>
      <c r="K21" s="8">
        <v>0</v>
      </c>
      <c r="L21" s="8">
        <f t="shared" si="1"/>
        <v>64</v>
      </c>
      <c r="M21" s="8">
        <f t="shared" si="2"/>
        <v>0</v>
      </c>
      <c r="N21" s="8"/>
    </row>
    <row r="22" spans="1:14" ht="12.75">
      <c r="A22" s="201">
        <f t="shared" si="3"/>
        <v>12</v>
      </c>
      <c r="B22" s="201" t="s">
        <v>606</v>
      </c>
      <c r="C22" s="8">
        <v>109</v>
      </c>
      <c r="D22" s="8">
        <v>2</v>
      </c>
      <c r="E22" s="8">
        <v>0</v>
      </c>
      <c r="F22" s="8">
        <v>0</v>
      </c>
      <c r="G22" s="8">
        <f t="shared" si="0"/>
        <v>111</v>
      </c>
      <c r="H22" s="8">
        <v>109</v>
      </c>
      <c r="I22" s="8">
        <v>2</v>
      </c>
      <c r="J22" s="8">
        <v>0</v>
      </c>
      <c r="K22" s="8">
        <v>0</v>
      </c>
      <c r="L22" s="8">
        <f t="shared" si="1"/>
        <v>111</v>
      </c>
      <c r="M22" s="8">
        <f t="shared" si="2"/>
        <v>0</v>
      </c>
      <c r="N22" s="8"/>
    </row>
    <row r="23" spans="1:14" ht="12.75">
      <c r="A23" s="201">
        <f t="shared" si="3"/>
        <v>13</v>
      </c>
      <c r="B23" s="201" t="s">
        <v>607</v>
      </c>
      <c r="C23" s="8">
        <v>216</v>
      </c>
      <c r="D23" s="8">
        <v>7</v>
      </c>
      <c r="E23" s="8">
        <v>0</v>
      </c>
      <c r="F23" s="8">
        <v>0</v>
      </c>
      <c r="G23" s="8">
        <f t="shared" si="0"/>
        <v>223</v>
      </c>
      <c r="H23" s="8">
        <v>216</v>
      </c>
      <c r="I23" s="8">
        <v>7</v>
      </c>
      <c r="J23" s="8">
        <v>0</v>
      </c>
      <c r="K23" s="8">
        <v>0</v>
      </c>
      <c r="L23" s="8">
        <f t="shared" si="1"/>
        <v>223</v>
      </c>
      <c r="M23" s="8">
        <f t="shared" si="2"/>
        <v>0</v>
      </c>
      <c r="N23" s="8"/>
    </row>
    <row r="24" spans="1:14" ht="12.75">
      <c r="A24" s="201">
        <f t="shared" si="3"/>
        <v>14</v>
      </c>
      <c r="B24" s="201" t="s">
        <v>636</v>
      </c>
      <c r="C24" s="8">
        <v>113</v>
      </c>
      <c r="D24" s="8">
        <v>8</v>
      </c>
      <c r="E24" s="8">
        <v>0</v>
      </c>
      <c r="F24" s="8">
        <v>0</v>
      </c>
      <c r="G24" s="8">
        <f t="shared" si="0"/>
        <v>121</v>
      </c>
      <c r="H24" s="8">
        <v>113</v>
      </c>
      <c r="I24" s="8">
        <v>8</v>
      </c>
      <c r="J24" s="8">
        <v>0</v>
      </c>
      <c r="K24" s="8">
        <v>0</v>
      </c>
      <c r="L24" s="8">
        <f t="shared" si="1"/>
        <v>121</v>
      </c>
      <c r="M24" s="8">
        <f t="shared" si="2"/>
        <v>0</v>
      </c>
      <c r="N24" s="8"/>
    </row>
    <row r="25" spans="1:14" ht="12.75">
      <c r="A25" s="201">
        <f t="shared" si="3"/>
        <v>15</v>
      </c>
      <c r="B25" s="201" t="s">
        <v>608</v>
      </c>
      <c r="C25" s="8">
        <v>150</v>
      </c>
      <c r="D25" s="8">
        <v>1</v>
      </c>
      <c r="E25" s="8">
        <v>0</v>
      </c>
      <c r="F25" s="8">
        <v>0</v>
      </c>
      <c r="G25" s="8">
        <f t="shared" si="0"/>
        <v>151</v>
      </c>
      <c r="H25" s="8">
        <v>150</v>
      </c>
      <c r="I25" s="8">
        <v>1</v>
      </c>
      <c r="J25" s="8">
        <v>0</v>
      </c>
      <c r="K25" s="8">
        <v>0</v>
      </c>
      <c r="L25" s="8">
        <f t="shared" si="1"/>
        <v>151</v>
      </c>
      <c r="M25" s="8">
        <f t="shared" si="2"/>
        <v>0</v>
      </c>
      <c r="N25" s="8"/>
    </row>
    <row r="26" spans="1:14" ht="12.75">
      <c r="A26" s="201">
        <f t="shared" si="3"/>
        <v>16</v>
      </c>
      <c r="B26" s="201" t="s">
        <v>609</v>
      </c>
      <c r="C26" s="8">
        <v>108</v>
      </c>
      <c r="D26" s="8">
        <v>2</v>
      </c>
      <c r="E26" s="8">
        <v>0</v>
      </c>
      <c r="F26" s="8">
        <v>2</v>
      </c>
      <c r="G26" s="8">
        <f t="shared" si="0"/>
        <v>112</v>
      </c>
      <c r="H26" s="8">
        <v>108</v>
      </c>
      <c r="I26" s="8">
        <v>2</v>
      </c>
      <c r="J26" s="8">
        <v>0</v>
      </c>
      <c r="K26" s="8">
        <v>2</v>
      </c>
      <c r="L26" s="8">
        <f t="shared" si="1"/>
        <v>112</v>
      </c>
      <c r="M26" s="8">
        <f t="shared" si="2"/>
        <v>0</v>
      </c>
      <c r="N26" s="8"/>
    </row>
    <row r="27" spans="1:14" ht="12.75">
      <c r="A27" s="201">
        <f t="shared" si="3"/>
        <v>17</v>
      </c>
      <c r="B27" s="201" t="s">
        <v>610</v>
      </c>
      <c r="C27" s="8">
        <v>131</v>
      </c>
      <c r="D27" s="8">
        <v>5</v>
      </c>
      <c r="E27" s="8">
        <v>0</v>
      </c>
      <c r="F27" s="8">
        <v>0</v>
      </c>
      <c r="G27" s="8">
        <f t="shared" si="0"/>
        <v>136</v>
      </c>
      <c r="H27" s="8">
        <v>131</v>
      </c>
      <c r="I27" s="8">
        <v>5</v>
      </c>
      <c r="J27" s="8">
        <v>0</v>
      </c>
      <c r="K27" s="8">
        <v>0</v>
      </c>
      <c r="L27" s="8">
        <f t="shared" si="1"/>
        <v>136</v>
      </c>
      <c r="M27" s="8">
        <f t="shared" si="2"/>
        <v>0</v>
      </c>
      <c r="N27" s="8"/>
    </row>
    <row r="28" spans="1:14" ht="12.75">
      <c r="A28" s="201">
        <f t="shared" si="3"/>
        <v>18</v>
      </c>
      <c r="B28" s="201" t="s">
        <v>611</v>
      </c>
      <c r="C28" s="8">
        <v>248</v>
      </c>
      <c r="D28" s="8">
        <v>17</v>
      </c>
      <c r="E28" s="8">
        <v>0</v>
      </c>
      <c r="F28" s="8">
        <v>0</v>
      </c>
      <c r="G28" s="8">
        <f t="shared" si="0"/>
        <v>265</v>
      </c>
      <c r="H28" s="8">
        <v>246</v>
      </c>
      <c r="I28" s="8">
        <v>7</v>
      </c>
      <c r="J28" s="8">
        <v>0</v>
      </c>
      <c r="K28" s="8">
        <v>0</v>
      </c>
      <c r="L28" s="8">
        <f t="shared" si="1"/>
        <v>253</v>
      </c>
      <c r="M28" s="8">
        <f t="shared" si="2"/>
        <v>12</v>
      </c>
      <c r="N28" s="8"/>
    </row>
    <row r="29" spans="1:14" ht="12.75">
      <c r="A29" s="201">
        <f t="shared" si="3"/>
        <v>19</v>
      </c>
      <c r="B29" s="201" t="s">
        <v>637</v>
      </c>
      <c r="C29" s="8">
        <v>117</v>
      </c>
      <c r="D29" s="8">
        <v>1</v>
      </c>
      <c r="E29" s="8">
        <v>0</v>
      </c>
      <c r="F29" s="8">
        <v>0</v>
      </c>
      <c r="G29" s="8">
        <f t="shared" si="0"/>
        <v>118</v>
      </c>
      <c r="H29" s="8">
        <v>117</v>
      </c>
      <c r="I29" s="8">
        <v>0</v>
      </c>
      <c r="J29" s="8">
        <v>0</v>
      </c>
      <c r="K29" s="8">
        <v>0</v>
      </c>
      <c r="L29" s="8">
        <f t="shared" si="1"/>
        <v>117</v>
      </c>
      <c r="M29" s="8">
        <f t="shared" si="2"/>
        <v>1</v>
      </c>
      <c r="N29" s="8"/>
    </row>
    <row r="30" spans="1:14" ht="12.75">
      <c r="A30" s="201">
        <f t="shared" si="3"/>
        <v>20</v>
      </c>
      <c r="B30" s="201" t="s">
        <v>612</v>
      </c>
      <c r="C30" s="8">
        <v>261</v>
      </c>
      <c r="D30" s="8">
        <v>15</v>
      </c>
      <c r="E30" s="8">
        <v>0</v>
      </c>
      <c r="F30" s="8">
        <v>0</v>
      </c>
      <c r="G30" s="8">
        <f t="shared" si="0"/>
        <v>276</v>
      </c>
      <c r="H30" s="8">
        <v>261</v>
      </c>
      <c r="I30" s="8">
        <v>15</v>
      </c>
      <c r="J30" s="8">
        <v>0</v>
      </c>
      <c r="K30" s="8">
        <v>0</v>
      </c>
      <c r="L30" s="8">
        <f t="shared" si="1"/>
        <v>276</v>
      </c>
      <c r="M30" s="8">
        <f t="shared" si="2"/>
        <v>0</v>
      </c>
      <c r="N30" s="8"/>
    </row>
    <row r="31" spans="1:14" ht="12.75">
      <c r="A31" s="201">
        <f t="shared" si="3"/>
        <v>21</v>
      </c>
      <c r="B31" s="201" t="s">
        <v>613</v>
      </c>
      <c r="C31" s="8">
        <v>112</v>
      </c>
      <c r="D31" s="8">
        <v>4</v>
      </c>
      <c r="E31" s="8">
        <v>0</v>
      </c>
      <c r="F31" s="8">
        <v>0</v>
      </c>
      <c r="G31" s="8">
        <f t="shared" si="0"/>
        <v>116</v>
      </c>
      <c r="H31" s="8">
        <v>112</v>
      </c>
      <c r="I31" s="8">
        <v>4</v>
      </c>
      <c r="J31" s="8">
        <v>0</v>
      </c>
      <c r="K31" s="8">
        <v>0</v>
      </c>
      <c r="L31" s="8">
        <f t="shared" si="1"/>
        <v>116</v>
      </c>
      <c r="M31" s="8">
        <f t="shared" si="2"/>
        <v>0</v>
      </c>
      <c r="N31" s="8"/>
    </row>
    <row r="32" spans="1:14" ht="12.75">
      <c r="A32" s="201">
        <f t="shared" si="3"/>
        <v>22</v>
      </c>
      <c r="B32" s="201" t="s">
        <v>614</v>
      </c>
      <c r="C32" s="8">
        <v>118</v>
      </c>
      <c r="D32" s="8">
        <v>2</v>
      </c>
      <c r="E32" s="8">
        <v>0</v>
      </c>
      <c r="F32" s="8">
        <v>0</v>
      </c>
      <c r="G32" s="8">
        <f t="shared" si="0"/>
        <v>120</v>
      </c>
      <c r="H32" s="8">
        <v>118</v>
      </c>
      <c r="I32" s="8">
        <v>2</v>
      </c>
      <c r="J32" s="8">
        <v>0</v>
      </c>
      <c r="K32" s="8">
        <v>0</v>
      </c>
      <c r="L32" s="8">
        <f t="shared" si="1"/>
        <v>120</v>
      </c>
      <c r="M32" s="8">
        <f t="shared" si="2"/>
        <v>0</v>
      </c>
      <c r="N32" s="8"/>
    </row>
    <row r="33" spans="1:14" ht="12.75">
      <c r="A33" s="201">
        <f t="shared" si="3"/>
        <v>23</v>
      </c>
      <c r="B33" s="201" t="s">
        <v>615</v>
      </c>
      <c r="C33" s="8">
        <v>250</v>
      </c>
      <c r="D33" s="8">
        <v>4</v>
      </c>
      <c r="E33" s="8">
        <v>0</v>
      </c>
      <c r="F33" s="8">
        <v>5</v>
      </c>
      <c r="G33" s="8">
        <f t="shared" si="0"/>
        <v>259</v>
      </c>
      <c r="H33" s="8">
        <v>250</v>
      </c>
      <c r="I33" s="8">
        <v>4</v>
      </c>
      <c r="J33" s="8">
        <v>0</v>
      </c>
      <c r="K33" s="8">
        <v>5</v>
      </c>
      <c r="L33" s="8">
        <f t="shared" si="1"/>
        <v>259</v>
      </c>
      <c r="M33" s="8">
        <f t="shared" si="2"/>
        <v>0</v>
      </c>
      <c r="N33" s="8"/>
    </row>
    <row r="34" spans="1:14" ht="12.75">
      <c r="A34" s="201">
        <f t="shared" si="3"/>
        <v>24</v>
      </c>
      <c r="B34" s="201" t="s">
        <v>616</v>
      </c>
      <c r="C34" s="8">
        <v>215</v>
      </c>
      <c r="D34" s="8">
        <v>2</v>
      </c>
      <c r="E34" s="8">
        <v>0</v>
      </c>
      <c r="F34" s="8">
        <v>0</v>
      </c>
      <c r="G34" s="8">
        <f t="shared" si="0"/>
        <v>217</v>
      </c>
      <c r="H34" s="8">
        <v>215</v>
      </c>
      <c r="I34" s="8">
        <v>2</v>
      </c>
      <c r="J34" s="8">
        <v>0</v>
      </c>
      <c r="K34" s="8">
        <v>0</v>
      </c>
      <c r="L34" s="8">
        <f t="shared" si="1"/>
        <v>217</v>
      </c>
      <c r="M34" s="8">
        <f t="shared" si="2"/>
        <v>0</v>
      </c>
      <c r="N34" s="8"/>
    </row>
    <row r="35" spans="1:14" ht="12.75">
      <c r="A35" s="201">
        <f t="shared" si="3"/>
        <v>25</v>
      </c>
      <c r="B35" s="201" t="s">
        <v>617</v>
      </c>
      <c r="C35" s="8">
        <v>242</v>
      </c>
      <c r="D35" s="8">
        <v>1</v>
      </c>
      <c r="E35" s="8">
        <v>0</v>
      </c>
      <c r="F35" s="8">
        <v>0</v>
      </c>
      <c r="G35" s="8">
        <f t="shared" si="0"/>
        <v>243</v>
      </c>
      <c r="H35" s="8">
        <v>242</v>
      </c>
      <c r="I35" s="16">
        <v>1</v>
      </c>
      <c r="J35" s="8">
        <v>0</v>
      </c>
      <c r="K35" s="8">
        <v>0</v>
      </c>
      <c r="L35" s="8">
        <f t="shared" si="1"/>
        <v>243</v>
      </c>
      <c r="M35" s="8">
        <f t="shared" si="2"/>
        <v>0</v>
      </c>
      <c r="N35" s="8"/>
    </row>
    <row r="36" spans="1:14" ht="12.75">
      <c r="A36" s="201">
        <f t="shared" si="3"/>
        <v>26</v>
      </c>
      <c r="B36" s="201" t="s">
        <v>618</v>
      </c>
      <c r="C36" s="8">
        <v>191</v>
      </c>
      <c r="D36" s="8">
        <v>8</v>
      </c>
      <c r="E36" s="8">
        <v>0</v>
      </c>
      <c r="F36" s="8">
        <v>0</v>
      </c>
      <c r="G36" s="8">
        <f t="shared" si="0"/>
        <v>199</v>
      </c>
      <c r="H36" s="8">
        <v>191</v>
      </c>
      <c r="I36" s="16">
        <v>8</v>
      </c>
      <c r="J36" s="8">
        <v>0</v>
      </c>
      <c r="K36" s="8">
        <v>0</v>
      </c>
      <c r="L36" s="8">
        <f t="shared" si="1"/>
        <v>199</v>
      </c>
      <c r="M36" s="8">
        <f t="shared" si="2"/>
        <v>0</v>
      </c>
      <c r="N36" s="8"/>
    </row>
    <row r="37" spans="1:14" ht="12.75">
      <c r="A37" s="201">
        <f t="shared" si="3"/>
        <v>27</v>
      </c>
      <c r="B37" s="201" t="s">
        <v>619</v>
      </c>
      <c r="C37" s="8">
        <v>179</v>
      </c>
      <c r="D37" s="8">
        <v>9</v>
      </c>
      <c r="E37" s="8">
        <v>0</v>
      </c>
      <c r="F37" s="8">
        <v>0</v>
      </c>
      <c r="G37" s="8">
        <f t="shared" si="0"/>
        <v>188</v>
      </c>
      <c r="H37" s="8">
        <v>179</v>
      </c>
      <c r="I37" s="16">
        <v>9</v>
      </c>
      <c r="J37" s="8">
        <v>0</v>
      </c>
      <c r="K37" s="8">
        <v>0</v>
      </c>
      <c r="L37" s="8">
        <f t="shared" si="1"/>
        <v>188</v>
      </c>
      <c r="M37" s="8">
        <f t="shared" si="2"/>
        <v>0</v>
      </c>
      <c r="N37" s="8"/>
    </row>
    <row r="38" spans="1:14" ht="12.75">
      <c r="A38" s="201">
        <f t="shared" si="3"/>
        <v>28</v>
      </c>
      <c r="B38" s="143" t="s">
        <v>620</v>
      </c>
      <c r="C38" s="8">
        <v>104</v>
      </c>
      <c r="D38" s="8">
        <v>1</v>
      </c>
      <c r="E38" s="8">
        <v>0</v>
      </c>
      <c r="F38" s="8">
        <v>0</v>
      </c>
      <c r="G38" s="8">
        <f t="shared" si="0"/>
        <v>105</v>
      </c>
      <c r="H38" s="8">
        <v>104</v>
      </c>
      <c r="I38" s="16">
        <v>1</v>
      </c>
      <c r="J38" s="8">
        <v>0</v>
      </c>
      <c r="K38" s="8">
        <v>0</v>
      </c>
      <c r="L38" s="8">
        <f t="shared" si="1"/>
        <v>105</v>
      </c>
      <c r="M38" s="8">
        <f t="shared" si="2"/>
        <v>0</v>
      </c>
      <c r="N38" s="8"/>
    </row>
    <row r="39" spans="1:14" ht="12.75">
      <c r="A39" s="201">
        <f t="shared" si="3"/>
        <v>29</v>
      </c>
      <c r="B39" s="143" t="s">
        <v>621</v>
      </c>
      <c r="C39" s="8">
        <v>139</v>
      </c>
      <c r="D39" s="8">
        <v>2</v>
      </c>
      <c r="E39" s="8">
        <v>0</v>
      </c>
      <c r="F39" s="8">
        <v>0</v>
      </c>
      <c r="G39" s="8">
        <f t="shared" si="0"/>
        <v>141</v>
      </c>
      <c r="H39" s="8">
        <v>139</v>
      </c>
      <c r="I39" s="16">
        <v>2</v>
      </c>
      <c r="J39" s="8">
        <v>0</v>
      </c>
      <c r="K39" s="8">
        <v>0</v>
      </c>
      <c r="L39" s="8">
        <f t="shared" si="1"/>
        <v>141</v>
      </c>
      <c r="M39" s="8">
        <f t="shared" si="2"/>
        <v>0</v>
      </c>
      <c r="N39" s="8"/>
    </row>
    <row r="40" spans="1:14" ht="12.75">
      <c r="A40" s="201">
        <f t="shared" si="3"/>
        <v>30</v>
      </c>
      <c r="B40" s="143" t="s">
        <v>622</v>
      </c>
      <c r="C40" s="8">
        <v>123</v>
      </c>
      <c r="D40" s="8">
        <v>20</v>
      </c>
      <c r="E40" s="8">
        <v>0</v>
      </c>
      <c r="F40" s="8">
        <v>0</v>
      </c>
      <c r="G40" s="8">
        <f t="shared" si="0"/>
        <v>143</v>
      </c>
      <c r="H40" s="8">
        <v>122</v>
      </c>
      <c r="I40" s="8">
        <v>17</v>
      </c>
      <c r="J40" s="8">
        <v>0</v>
      </c>
      <c r="K40" s="8">
        <v>0</v>
      </c>
      <c r="L40" s="8">
        <f t="shared" si="1"/>
        <v>139</v>
      </c>
      <c r="M40" s="8">
        <f t="shared" si="2"/>
        <v>4</v>
      </c>
      <c r="N40" s="8"/>
    </row>
    <row r="41" spans="1:14" ht="12.75">
      <c r="A41" s="201">
        <f t="shared" si="3"/>
        <v>31</v>
      </c>
      <c r="B41" s="143" t="s">
        <v>623</v>
      </c>
      <c r="C41" s="8">
        <v>162</v>
      </c>
      <c r="D41" s="8">
        <v>2</v>
      </c>
      <c r="E41" s="8">
        <v>0</v>
      </c>
      <c r="F41" s="8">
        <v>0</v>
      </c>
      <c r="G41" s="8">
        <f t="shared" si="0"/>
        <v>164</v>
      </c>
      <c r="H41" s="8">
        <v>159</v>
      </c>
      <c r="I41" s="8">
        <v>2</v>
      </c>
      <c r="J41" s="8">
        <v>0</v>
      </c>
      <c r="K41" s="8">
        <v>0</v>
      </c>
      <c r="L41" s="8">
        <f t="shared" si="1"/>
        <v>161</v>
      </c>
      <c r="M41" s="8">
        <f t="shared" si="2"/>
        <v>3</v>
      </c>
      <c r="N41" s="8"/>
    </row>
    <row r="42" spans="1:14" s="5" customFormat="1" ht="12.75">
      <c r="A42" s="150"/>
      <c r="B42" s="150" t="s">
        <v>624</v>
      </c>
      <c r="C42" s="17">
        <f>SUM(C11:C41)</f>
        <v>4837</v>
      </c>
      <c r="D42" s="17">
        <f aca="true" t="shared" si="4" ref="D42:M42">SUM(D11:D41)</f>
        <v>267</v>
      </c>
      <c r="E42" s="17">
        <f t="shared" si="4"/>
        <v>0</v>
      </c>
      <c r="F42" s="17">
        <f t="shared" si="4"/>
        <v>11</v>
      </c>
      <c r="G42" s="17">
        <f t="shared" si="4"/>
        <v>5115</v>
      </c>
      <c r="H42" s="17">
        <f t="shared" si="4"/>
        <v>4828</v>
      </c>
      <c r="I42" s="17">
        <f t="shared" si="4"/>
        <v>221</v>
      </c>
      <c r="J42" s="17">
        <f t="shared" si="4"/>
        <v>0</v>
      </c>
      <c r="K42" s="17">
        <f t="shared" si="4"/>
        <v>11</v>
      </c>
      <c r="L42" s="17">
        <f t="shared" si="4"/>
        <v>5060</v>
      </c>
      <c r="M42" s="17">
        <f t="shared" si="4"/>
        <v>55</v>
      </c>
      <c r="N42" s="17" t="s">
        <v>878</v>
      </c>
    </row>
    <row r="43" spans="1:12" ht="12.75">
      <c r="A43" s="6" t="s">
        <v>9</v>
      </c>
      <c r="L43" s="369"/>
    </row>
    <row r="44" spans="1:14" ht="12.75">
      <c r="A44" s="6" t="s">
        <v>10</v>
      </c>
      <c r="K44" s="3" t="s">
        <v>11</v>
      </c>
      <c r="L44" s="3" t="s">
        <v>11</v>
      </c>
      <c r="M44" s="3"/>
      <c r="N44" s="3" t="s">
        <v>11</v>
      </c>
    </row>
    <row r="45" spans="1:12" ht="12.75">
      <c r="A45" s="6" t="s">
        <v>421</v>
      </c>
      <c r="J45" s="3"/>
      <c r="K45" s="3"/>
      <c r="L45" s="3"/>
    </row>
    <row r="46" spans="3:13" ht="12.75">
      <c r="C46" s="6" t="s">
        <v>422</v>
      </c>
      <c r="E46" s="10"/>
      <c r="F46" s="10"/>
      <c r="G46" s="10"/>
      <c r="H46" s="10"/>
      <c r="I46" s="10"/>
      <c r="J46" s="10"/>
      <c r="K46" s="10"/>
      <c r="L46" s="10"/>
      <c r="M46" s="10"/>
    </row>
    <row r="47" spans="5:14" ht="12.75"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5:14" ht="12.75"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644"/>
      <c r="B49" s="644"/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</row>
    <row r="50" spans="11:14" ht="14.25">
      <c r="K50" s="592" t="s">
        <v>860</v>
      </c>
      <c r="L50" s="592"/>
      <c r="M50" s="592"/>
      <c r="N50" s="592"/>
    </row>
    <row r="51" spans="11:14" ht="14.25">
      <c r="K51" s="592" t="s">
        <v>653</v>
      </c>
      <c r="L51" s="592"/>
      <c r="M51" s="592"/>
      <c r="N51" s="592"/>
    </row>
  </sheetData>
  <sheetProtection/>
  <mergeCells count="14">
    <mergeCell ref="K51:N51"/>
    <mergeCell ref="A49:N49"/>
    <mergeCell ref="N8:N9"/>
    <mergeCell ref="A8:A9"/>
    <mergeCell ref="B8:B9"/>
    <mergeCell ref="C8:G8"/>
    <mergeCell ref="H8:L8"/>
    <mergeCell ref="M8:M9"/>
    <mergeCell ref="D1:J1"/>
    <mergeCell ref="A2:N2"/>
    <mergeCell ref="A3:N3"/>
    <mergeCell ref="A5:N5"/>
    <mergeCell ref="K50:N50"/>
    <mergeCell ref="L7:N7"/>
  </mergeCells>
  <printOptions horizontalCentered="1"/>
  <pageMargins left="0.57" right="0.47" top="0.44" bottom="0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2019-05-16T06:47:55Z</cp:lastPrinted>
  <dcterms:created xsi:type="dcterms:W3CDTF">1996-10-14T23:33:28Z</dcterms:created>
  <dcterms:modified xsi:type="dcterms:W3CDTF">2019-06-27T10:36:23Z</dcterms:modified>
  <cp:category/>
  <cp:version/>
  <cp:contentType/>
  <cp:contentStatus/>
</cp:coreProperties>
</file>